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opietario\Desktop\OIR S.P.P\INFORMACION OFICIOSA\INFORMACIÓN OFICIOSA 2021\PRIMER TRIMESTRE 2021\PRESUPUESTO\"/>
    </mc:Choice>
  </mc:AlternateContent>
  <xr:revisionPtr revIDLastSave="0" documentId="13_ncr:1_{FBF0DB83-54E9-4902-8D8F-EA5E555EE6C7}" xr6:coauthVersionLast="46" xr6:coauthVersionMax="46" xr10:uidLastSave="{00000000-0000-0000-0000-000000000000}"/>
  <bookViews>
    <workbookView xWindow="-120" yWindow="-120" windowWidth="20730" windowHeight="11160" tabRatio="903" firstSheet="10" activeTab="15" xr2:uid="{00000000-000D-0000-FFFF-FFFF00000000}"/>
  </bookViews>
  <sheets>
    <sheet name="PORTADA" sheetId="70" r:id="rId1"/>
    <sheet name="Estructura" sheetId="56" r:id="rId2"/>
    <sheet name="Rubros" sheetId="57" r:id="rId3"/>
    <sheet name="Ingresos" sheetId="16" r:id="rId4"/>
    <sheet name="Egresos" sheetId="65" r:id="rId5"/>
    <sheet name="Egresos F. MPal." sheetId="12" r:id="rId6"/>
    <sheet name="Egr. FODES 25%" sheetId="20" r:id="rId7"/>
    <sheet name=" Egrs75%FODES- PROY.SOCIALES" sheetId="58" r:id="rId8"/>
    <sheet name="AMORT.DE PREST." sheetId="66" state="hidden" r:id="rId9"/>
    <sheet name="PRESTAMOS" sheetId="67" state="hidden" r:id="rId10"/>
    <sheet name=" Egrs75%FODES- PROY.INFRAEST" sheetId="77" r:id="rId11"/>
    <sheet name="Egr.FODES 2%" sheetId="76" r:id="rId12"/>
    <sheet name="FONDOS GOES" sheetId="84" r:id="rId13"/>
    <sheet name="FISDL" sheetId="72" r:id="rId14"/>
    <sheet name="DONACIONES(ISNA) (2)" sheetId="80" r:id="rId15"/>
    <sheet name="Dietas" sheetId="27" r:id="rId16"/>
    <sheet name="Salarios" sheetId="64" state="hidden" r:id="rId17"/>
    <sheet name="Planillas" sheetId="68" state="hidden" r:id="rId18"/>
    <sheet name="Planillas (2)" sheetId="69" r:id="rId19"/>
    <sheet name="MORA TRIBUTARIA A 2021" sheetId="71" r:id="rId20"/>
    <sheet name="proyectos sociales" sheetId="74" r:id="rId21"/>
    <sheet name="ESPECIFICOS PROYECTOS SOCIALES" sheetId="75" r:id="rId22"/>
    <sheet name="PROYECTOS DE ARRASTRE 2020" sheetId="81" r:id="rId23"/>
    <sheet name="PROYECTOS CON DEUDA 2020" sheetId="82" r:id="rId24"/>
    <sheet name="PROYECTOS 2% ESPECIFICOS " sheetId="83" r:id="rId25"/>
    <sheet name="PROYECTOS GOES ESPECIFICOS " sheetId="85" r:id="rId26"/>
  </sheets>
  <definedNames>
    <definedName name="_xlnm.Print_Area" localSheetId="10">' Egrs75%FODES- PROY.INFRAEST'!$A$1:$H$85</definedName>
    <definedName name="_xlnm.Print_Area" localSheetId="7">' Egrs75%FODES- PROY.SOCIALES'!$A$1:$H$85</definedName>
    <definedName name="_xlnm.Print_Area" localSheetId="8">'AMORT.DE PREST.'!$A$1:$H$16</definedName>
    <definedName name="_xlnm.Print_Area" localSheetId="15">Dietas!$A$1:$J$19</definedName>
    <definedName name="_xlnm.Print_Area" localSheetId="14">'DONACIONES(ISNA) (2)'!$A$1:$H$21</definedName>
    <definedName name="_xlnm.Print_Area" localSheetId="6">'Egr. FODES 25%'!$A$1:$H$83,'Egr. FODES 25%'!$A$88:$H$161,'Egr. FODES 25%'!$A$168:$H$241</definedName>
    <definedName name="_xlnm.Print_Area" localSheetId="11">'Egr.FODES 2%'!$A$1:$H$44</definedName>
    <definedName name="_xlnm.Print_Area" localSheetId="4">Egresos!$B$1:$K$166</definedName>
    <definedName name="_xlnm.Print_Area" localSheetId="5">'Egresos F. MPal.'!$A$1:$H$86</definedName>
    <definedName name="_xlnm.Print_Area" localSheetId="21">'ESPECIFICOS PROYECTOS SOCIALES'!$A$1:$I$299</definedName>
    <definedName name="_xlnm.Print_Area" localSheetId="1">Estructura!$A$1:$D$24</definedName>
    <definedName name="_xlnm.Print_Area" localSheetId="13">FISDL!$A$1:$H$19</definedName>
    <definedName name="_xlnm.Print_Area" localSheetId="12">'FONDOS GOES'!$A$1:$H$51</definedName>
    <definedName name="_xlnm.Print_Area" localSheetId="3">Ingresos!$A$1:$J$89</definedName>
    <definedName name="_xlnm.Print_Area" localSheetId="19">'MORA TRIBUTARIA A 2021'!$A$1:$N$17</definedName>
    <definedName name="_xlnm.Print_Area" localSheetId="18">'Planillas (2)'!$A$1:$P$94</definedName>
    <definedName name="_xlnm.Print_Area" localSheetId="9">PRESTAMOS!$A$1:$H$27</definedName>
    <definedName name="_xlnm.Print_Area" localSheetId="24">'PROYECTOS 2% ESPECIFICOS '!$A$1:$G$55</definedName>
    <definedName name="_xlnm.Print_Area" localSheetId="23">'PROYECTOS CON DEUDA 2020'!$A$1:$F$135</definedName>
    <definedName name="_xlnm.Print_Area" localSheetId="22">'PROYECTOS DE ARRASTRE 2020'!$A$1:$K$76</definedName>
    <definedName name="_xlnm.Print_Area" localSheetId="20">'proyectos sociales'!$A$1:$O$65</definedName>
    <definedName name="_xlnm.Print_Titles" localSheetId="10">' Egrs75%FODES- PROY.INFRAEST'!$9:$10</definedName>
    <definedName name="_xlnm.Print_Titles" localSheetId="7">' Egrs75%FODES- PROY.SOCIALES'!$9:$10</definedName>
    <definedName name="_xlnm.Print_Titles" localSheetId="8">'AMORT.DE PREST.'!$9:$10</definedName>
    <definedName name="_xlnm.Print_Titles" localSheetId="15">Dietas!$4:$6</definedName>
    <definedName name="_xlnm.Print_Titles" localSheetId="14">'DONACIONES(ISNA) (2)'!$9:$10</definedName>
    <definedName name="_xlnm.Print_Titles" localSheetId="11">'Egr.FODES 2%'!$9:$10</definedName>
    <definedName name="_xlnm.Print_Titles" localSheetId="4">Egresos!$1:$8</definedName>
    <definedName name="_xlnm.Print_Titles" localSheetId="5">'Egresos F. MPal.'!$1:$9</definedName>
    <definedName name="_xlnm.Print_Titles" localSheetId="13">FISDL!$9:$10</definedName>
    <definedName name="_xlnm.Print_Titles" localSheetId="12">'FONDOS GOES'!$9:$10</definedName>
    <definedName name="_xlnm.Print_Titles" localSheetId="3">Ingresos!$1:$8</definedName>
    <definedName name="_xlnm.Print_Titles" localSheetId="18">'Planillas (2)'!$4:$6</definedName>
  </definedNames>
  <calcPr calcId="181029"/>
</workbook>
</file>

<file path=xl/calcChain.xml><?xml version="1.0" encoding="utf-8"?>
<calcChain xmlns="http://schemas.openxmlformats.org/spreadsheetml/2006/main">
  <c r="D69" i="16" l="1"/>
  <c r="D70" i="16"/>
  <c r="D73" i="16"/>
  <c r="F73" i="16"/>
  <c r="E73" i="16"/>
  <c r="F70" i="16"/>
  <c r="H26" i="76"/>
  <c r="H36" i="76"/>
  <c r="C19" i="83"/>
  <c r="G141" i="65"/>
  <c r="G145" i="65"/>
  <c r="G155" i="65"/>
  <c r="F114" i="82" l="1"/>
  <c r="C120" i="82"/>
  <c r="F120" i="82" s="1"/>
  <c r="F122" i="82" s="1"/>
  <c r="C71" i="81"/>
  <c r="C39" i="83"/>
  <c r="C32" i="83"/>
  <c r="C25" i="83"/>
  <c r="C73" i="81" l="1"/>
  <c r="C51" i="85" l="1"/>
  <c r="C43" i="85"/>
  <c r="C53" i="85" s="1"/>
  <c r="C35" i="85"/>
  <c r="C24" i="85"/>
  <c r="C16" i="85"/>
  <c r="C26" i="85" s="1"/>
  <c r="C8" i="85"/>
  <c r="C50" i="74"/>
  <c r="G70" i="16"/>
  <c r="G72" i="16"/>
  <c r="C55" i="85" l="1"/>
  <c r="E94" i="65"/>
  <c r="H44" i="84"/>
  <c r="H47" i="84" l="1"/>
  <c r="H14" i="80"/>
  <c r="F140" i="65"/>
  <c r="F142" i="65"/>
  <c r="E72" i="16"/>
  <c r="E70" i="16" s="1"/>
  <c r="E69" i="16" s="1"/>
  <c r="C40" i="74"/>
  <c r="I61" i="65"/>
  <c r="F72" i="16"/>
  <c r="F69" i="16" s="1"/>
  <c r="G154" i="65"/>
  <c r="G153" i="65" s="1"/>
  <c r="G134" i="65"/>
  <c r="G139" i="65"/>
  <c r="H22" i="12"/>
  <c r="H57" i="12"/>
  <c r="H24" i="12"/>
  <c r="D42" i="65"/>
  <c r="G157" i="65" l="1"/>
  <c r="G69" i="16"/>
  <c r="G77" i="16" s="1"/>
  <c r="H155" i="65"/>
  <c r="H72" i="16"/>
  <c r="F139" i="65"/>
  <c r="F155" i="65"/>
  <c r="E60" i="16"/>
  <c r="C12" i="57" s="1"/>
  <c r="H70" i="16" l="1"/>
  <c r="H69" i="16"/>
  <c r="H77" i="16"/>
  <c r="C7" i="74"/>
  <c r="C280" i="75"/>
  <c r="C272" i="75" l="1"/>
  <c r="C263" i="75"/>
  <c r="C255" i="75"/>
  <c r="C247" i="75"/>
  <c r="C237" i="75"/>
  <c r="C227" i="75"/>
  <c r="C213" i="75"/>
  <c r="C204" i="75" l="1"/>
  <c r="C282" i="75" s="1"/>
  <c r="C292" i="75" s="1"/>
  <c r="C190" i="75"/>
  <c r="C175" i="75"/>
  <c r="C160" i="75"/>
  <c r="C145" i="75"/>
  <c r="C130" i="75"/>
  <c r="C119" i="75"/>
  <c r="C109" i="75"/>
  <c r="C97" i="75"/>
  <c r="C86" i="75"/>
  <c r="C65" i="75"/>
  <c r="C38" i="75"/>
  <c r="C45" i="75" s="1"/>
  <c r="H20" i="75" s="1"/>
  <c r="C24" i="75"/>
  <c r="C13" i="75"/>
  <c r="H78" i="77" l="1"/>
  <c r="H80" i="77" s="1"/>
  <c r="H81" i="77" s="1"/>
  <c r="H37" i="76"/>
  <c r="E72" i="65"/>
  <c r="E71" i="65"/>
  <c r="H43" i="20"/>
  <c r="H42" i="20"/>
  <c r="H40" i="20"/>
  <c r="H37" i="20"/>
  <c r="H33" i="20"/>
  <c r="H31" i="20"/>
  <c r="H26" i="20"/>
  <c r="H25" i="20"/>
  <c r="H24" i="20"/>
  <c r="H23" i="20"/>
  <c r="H22" i="20"/>
  <c r="H34" i="20"/>
  <c r="H48" i="20"/>
  <c r="H52" i="20"/>
  <c r="H57" i="20"/>
  <c r="H65" i="20"/>
  <c r="H78" i="20"/>
  <c r="H80" i="20"/>
  <c r="H193" i="20"/>
  <c r="H13" i="20"/>
  <c r="E13" i="65" s="1"/>
  <c r="D13" i="65"/>
  <c r="H19" i="12"/>
  <c r="H18" i="12"/>
  <c r="H12" i="12"/>
  <c r="H10" i="12"/>
  <c r="H177" i="20"/>
  <c r="H97" i="20"/>
  <c r="H40" i="76" l="1"/>
  <c r="D35" i="65" l="1"/>
  <c r="D112" i="65"/>
  <c r="H47" i="12"/>
  <c r="H56" i="12"/>
  <c r="H68" i="12"/>
  <c r="H70" i="12"/>
  <c r="H78" i="12"/>
  <c r="H81" i="12"/>
  <c r="H28" i="12"/>
  <c r="H27" i="12"/>
  <c r="H41" i="12"/>
  <c r="H36" i="12"/>
  <c r="H33" i="12"/>
  <c r="H67" i="12"/>
  <c r="H66" i="12"/>
  <c r="H26" i="12"/>
  <c r="H25" i="12"/>
  <c r="C74" i="16"/>
  <c r="C21" i="74" l="1"/>
  <c r="C17" i="74"/>
  <c r="C9" i="74"/>
  <c r="D46" i="65" l="1"/>
  <c r="D126" i="65" l="1"/>
  <c r="D121" i="65"/>
  <c r="D120" i="65"/>
  <c r="D119" i="65"/>
  <c r="D109" i="65"/>
  <c r="D108" i="65"/>
  <c r="D107" i="65"/>
  <c r="D98" i="65"/>
  <c r="D96" i="65"/>
  <c r="D95" i="65"/>
  <c r="D94" i="65"/>
  <c r="D84" i="65"/>
  <c r="D83" i="65"/>
  <c r="D82" i="65"/>
  <c r="D81" i="65"/>
  <c r="D80" i="65"/>
  <c r="D75" i="65"/>
  <c r="D74" i="65"/>
  <c r="D73" i="65"/>
  <c r="D72" i="65"/>
  <c r="D71" i="65"/>
  <c r="D66" i="65"/>
  <c r="D61" i="65"/>
  <c r="D59" i="65"/>
  <c r="D58" i="65"/>
  <c r="D57" i="65"/>
  <c r="D56" i="65"/>
  <c r="D55" i="65"/>
  <c r="D54" i="65"/>
  <c r="D52" i="65"/>
  <c r="D51" i="65"/>
  <c r="D49" i="65"/>
  <c r="D48" i="65"/>
  <c r="D47" i="65"/>
  <c r="D45" i="65"/>
  <c r="D44" i="65"/>
  <c r="D28" i="65"/>
  <c r="D25" i="65"/>
  <c r="D15" i="65"/>
  <c r="D11" i="65"/>
  <c r="E128" i="65"/>
  <c r="E126" i="65"/>
  <c r="E116" i="65"/>
  <c r="E109" i="65"/>
  <c r="E98" i="65"/>
  <c r="E95" i="65"/>
  <c r="E83" i="65"/>
  <c r="E82" i="65"/>
  <c r="E81" i="65"/>
  <c r="E80" i="65"/>
  <c r="E75" i="65"/>
  <c r="E74" i="65"/>
  <c r="E73" i="65"/>
  <c r="E65" i="65"/>
  <c r="E64" i="65"/>
  <c r="E61" i="65"/>
  <c r="E60" i="65"/>
  <c r="E59" i="65"/>
  <c r="E58" i="65"/>
  <c r="E57" i="65"/>
  <c r="E56" i="65"/>
  <c r="E55" i="65"/>
  <c r="E54" i="65"/>
  <c r="E52" i="65"/>
  <c r="E51" i="65"/>
  <c r="E49" i="65"/>
  <c r="E50" i="65"/>
  <c r="E48" i="65"/>
  <c r="E47" i="65"/>
  <c r="E46" i="65"/>
  <c r="E45" i="65"/>
  <c r="E44" i="65"/>
  <c r="E42" i="65"/>
  <c r="E28" i="65" l="1"/>
  <c r="E25" i="65"/>
  <c r="E15" i="65"/>
  <c r="E12" i="65"/>
  <c r="H45" i="20"/>
  <c r="E66" i="65" s="1"/>
  <c r="H11" i="20" l="1"/>
  <c r="E11" i="65" s="1"/>
  <c r="C29" i="74"/>
  <c r="C35" i="74" s="1"/>
  <c r="C38" i="74" l="1"/>
  <c r="C43" i="74"/>
  <c r="B7" i="71"/>
  <c r="B6" i="71"/>
  <c r="B4" i="71"/>
  <c r="B5" i="71"/>
  <c r="B3" i="71"/>
  <c r="B9" i="71" s="1"/>
  <c r="C9" i="71" s="1"/>
  <c r="C36" i="16"/>
  <c r="J34" i="16"/>
  <c r="D10" i="65" l="1"/>
  <c r="K146" i="65"/>
  <c r="H12" i="72"/>
  <c r="H83" i="20"/>
  <c r="K131" i="65"/>
  <c r="K147" i="65"/>
  <c r="F27" i="65"/>
  <c r="F10" i="65"/>
  <c r="F154" i="65"/>
  <c r="F153" i="65" s="1"/>
  <c r="E125" i="65"/>
  <c r="K84" i="65"/>
  <c r="K98" i="65"/>
  <c r="D21" i="65"/>
  <c r="K21" i="65" s="1"/>
  <c r="K35" i="65"/>
  <c r="K34" i="65" s="1"/>
  <c r="D118" i="65"/>
  <c r="D70" i="65"/>
  <c r="K42" i="65"/>
  <c r="K81" i="65"/>
  <c r="E155" i="65"/>
  <c r="K155" i="65" s="1"/>
  <c r="D24" i="65"/>
  <c r="H23" i="12"/>
  <c r="K16" i="71"/>
  <c r="J16" i="71"/>
  <c r="M15" i="71"/>
  <c r="L15" i="71"/>
  <c r="M14" i="71"/>
  <c r="L14" i="71"/>
  <c r="M13" i="71"/>
  <c r="L13" i="71"/>
  <c r="M12" i="71"/>
  <c r="L12" i="71"/>
  <c r="M11" i="71"/>
  <c r="L11" i="71"/>
  <c r="M10" i="71"/>
  <c r="L10" i="71"/>
  <c r="M9" i="71"/>
  <c r="L9" i="71"/>
  <c r="M5" i="71"/>
  <c r="L5" i="71"/>
  <c r="M4" i="71"/>
  <c r="L4" i="71"/>
  <c r="M3" i="71"/>
  <c r="L3" i="71"/>
  <c r="H46" i="12"/>
  <c r="C70" i="16"/>
  <c r="C73" i="16"/>
  <c r="E63" i="65"/>
  <c r="G79" i="12"/>
  <c r="K129" i="65"/>
  <c r="F70" i="65"/>
  <c r="F106" i="65"/>
  <c r="K14" i="65"/>
  <c r="F41" i="65"/>
  <c r="E86" i="65"/>
  <c r="D86" i="65"/>
  <c r="E118" i="65"/>
  <c r="E114" i="65" s="1"/>
  <c r="F118" i="65"/>
  <c r="K119" i="65"/>
  <c r="E70" i="65"/>
  <c r="K88" i="65"/>
  <c r="K89" i="65"/>
  <c r="K90" i="65"/>
  <c r="K76" i="65"/>
  <c r="K77" i="65"/>
  <c r="K78" i="65"/>
  <c r="K53" i="65"/>
  <c r="D41" i="65"/>
  <c r="J34" i="65"/>
  <c r="I34" i="65"/>
  <c r="H34" i="65"/>
  <c r="F34" i="65"/>
  <c r="E34" i="65"/>
  <c r="K31" i="65"/>
  <c r="D30" i="65"/>
  <c r="E30" i="65"/>
  <c r="J37" i="65"/>
  <c r="I37" i="65"/>
  <c r="H37" i="65"/>
  <c r="G37" i="65"/>
  <c r="F37" i="65"/>
  <c r="E37" i="65"/>
  <c r="K141" i="65"/>
  <c r="K140" i="65"/>
  <c r="F60" i="16"/>
  <c r="F30" i="65"/>
  <c r="E92" i="69"/>
  <c r="G92" i="69" s="1"/>
  <c r="E91" i="69"/>
  <c r="G91" i="69" s="1"/>
  <c r="K91" i="69" s="1"/>
  <c r="E90" i="69"/>
  <c r="G90" i="69" s="1"/>
  <c r="K90" i="69" s="1"/>
  <c r="E89" i="69"/>
  <c r="I89" i="69" s="1"/>
  <c r="E88" i="69"/>
  <c r="G88" i="69" s="1"/>
  <c r="K88" i="69" s="1"/>
  <c r="E87" i="69"/>
  <c r="G87" i="69" s="1"/>
  <c r="K87" i="69" s="1"/>
  <c r="E86" i="69"/>
  <c r="G86" i="69" s="1"/>
  <c r="E85" i="69"/>
  <c r="H85" i="69" s="1"/>
  <c r="E82" i="69"/>
  <c r="G82" i="69" s="1"/>
  <c r="E81" i="69"/>
  <c r="G81" i="69" s="1"/>
  <c r="E80" i="69"/>
  <c r="K80" i="69" s="1"/>
  <c r="E79" i="69"/>
  <c r="G79" i="69" s="1"/>
  <c r="E78" i="69"/>
  <c r="G78" i="69" s="1"/>
  <c r="E77" i="69"/>
  <c r="H77" i="69" s="1"/>
  <c r="E76" i="69"/>
  <c r="E75" i="69"/>
  <c r="I75" i="69" s="1"/>
  <c r="E74" i="69"/>
  <c r="G74" i="69" s="1"/>
  <c r="E73" i="69"/>
  <c r="G73" i="69" s="1"/>
  <c r="E72" i="69"/>
  <c r="G72" i="69" s="1"/>
  <c r="E71" i="69"/>
  <c r="G71" i="69" s="1"/>
  <c r="E70" i="69"/>
  <c r="K70" i="69" s="1"/>
  <c r="E69" i="69"/>
  <c r="I69" i="69" s="1"/>
  <c r="J69" i="69" s="1"/>
  <c r="P69" i="69" s="1"/>
  <c r="E68" i="69"/>
  <c r="H68" i="69" s="1"/>
  <c r="E67" i="69"/>
  <c r="I67" i="69" s="1"/>
  <c r="E66" i="69"/>
  <c r="K66" i="69" s="1"/>
  <c r="E65" i="69"/>
  <c r="I65" i="69" s="1"/>
  <c r="E64" i="69"/>
  <c r="G64" i="69" s="1"/>
  <c r="E63" i="69"/>
  <c r="E62" i="69"/>
  <c r="G62" i="69" s="1"/>
  <c r="E61" i="69"/>
  <c r="G61" i="69" s="1"/>
  <c r="E60" i="69"/>
  <c r="G60" i="69" s="1"/>
  <c r="P60" i="69" s="1"/>
  <c r="E59" i="69"/>
  <c r="G59" i="69" s="1"/>
  <c r="E58" i="69"/>
  <c r="G58" i="69"/>
  <c r="E57" i="69"/>
  <c r="I57" i="69" s="1"/>
  <c r="E56" i="69"/>
  <c r="G56" i="69" s="1"/>
  <c r="E55" i="69"/>
  <c r="G55" i="69" s="1"/>
  <c r="E54" i="69"/>
  <c r="G54" i="69" s="1"/>
  <c r="E53" i="69"/>
  <c r="G53" i="69" s="1"/>
  <c r="E52" i="69"/>
  <c r="G52" i="69"/>
  <c r="E51" i="69"/>
  <c r="H51" i="69" s="1"/>
  <c r="E50" i="69"/>
  <c r="G50" i="69"/>
  <c r="E49" i="69"/>
  <c r="I49" i="69" s="1"/>
  <c r="E48" i="69"/>
  <c r="G48" i="69" s="1"/>
  <c r="E47" i="69"/>
  <c r="G47" i="69" s="1"/>
  <c r="E46" i="69"/>
  <c r="K46" i="69" s="1"/>
  <c r="E45" i="69"/>
  <c r="G45" i="69" s="1"/>
  <c r="E44" i="69"/>
  <c r="G44" i="69" s="1"/>
  <c r="E43" i="69"/>
  <c r="I43" i="69" s="1"/>
  <c r="E42" i="69"/>
  <c r="G42" i="69" s="1"/>
  <c r="E41" i="69"/>
  <c r="H41" i="69" s="1"/>
  <c r="E40" i="69"/>
  <c r="G40" i="69" s="1"/>
  <c r="E39" i="69"/>
  <c r="G39" i="69" s="1"/>
  <c r="E36" i="69"/>
  <c r="I36" i="69" s="1"/>
  <c r="E35" i="69"/>
  <c r="G35" i="69" s="1"/>
  <c r="E34" i="69"/>
  <c r="G34" i="69"/>
  <c r="E33" i="69"/>
  <c r="G33" i="69" s="1"/>
  <c r="E32" i="69"/>
  <c r="G32" i="69" s="1"/>
  <c r="P32" i="69" s="1"/>
  <c r="E31" i="69"/>
  <c r="G31" i="69" s="1"/>
  <c r="E30" i="69"/>
  <c r="E29" i="69"/>
  <c r="G29" i="69" s="1"/>
  <c r="E28" i="69"/>
  <c r="G28" i="69" s="1"/>
  <c r="E25" i="69"/>
  <c r="E24" i="69"/>
  <c r="E23" i="69"/>
  <c r="E22" i="69"/>
  <c r="E21" i="69"/>
  <c r="E20" i="69"/>
  <c r="E19" i="69"/>
  <c r="E18" i="69"/>
  <c r="E17" i="69"/>
  <c r="E16" i="69"/>
  <c r="E15" i="69"/>
  <c r="E14" i="69"/>
  <c r="E26" i="69" s="1"/>
  <c r="E12" i="69"/>
  <c r="G12" i="69" s="1"/>
  <c r="E11" i="69"/>
  <c r="G11" i="69" s="1"/>
  <c r="E10" i="69"/>
  <c r="G10" i="69" s="1"/>
  <c r="E9" i="69"/>
  <c r="G9" i="69" s="1"/>
  <c r="E8" i="69"/>
  <c r="G8" i="69" s="1"/>
  <c r="E7" i="69"/>
  <c r="G7" i="69" s="1"/>
  <c r="F93" i="69"/>
  <c r="D93" i="69"/>
  <c r="C93" i="69"/>
  <c r="O92" i="69"/>
  <c r="O91" i="69"/>
  <c r="O90" i="69"/>
  <c r="O89" i="69"/>
  <c r="O88" i="69"/>
  <c r="O87" i="69"/>
  <c r="O86" i="69"/>
  <c r="O93" i="69" s="1"/>
  <c r="O85" i="69"/>
  <c r="F83" i="69"/>
  <c r="D83" i="69"/>
  <c r="C83" i="69"/>
  <c r="O82" i="69"/>
  <c r="J82" i="69"/>
  <c r="O81" i="69"/>
  <c r="O80" i="69"/>
  <c r="O79" i="69"/>
  <c r="P79" i="69"/>
  <c r="J79" i="69"/>
  <c r="O78" i="69"/>
  <c r="O77" i="69"/>
  <c r="O76" i="69"/>
  <c r="O75" i="69"/>
  <c r="O74" i="69"/>
  <c r="O73" i="69"/>
  <c r="J73" i="69"/>
  <c r="O72" i="69"/>
  <c r="O71" i="69"/>
  <c r="O70" i="69"/>
  <c r="O69" i="69"/>
  <c r="H69" i="69"/>
  <c r="O68" i="69"/>
  <c r="K68" i="69"/>
  <c r="O67" i="69"/>
  <c r="O66" i="69"/>
  <c r="O65" i="69"/>
  <c r="O64" i="69"/>
  <c r="O63" i="69"/>
  <c r="O62" i="69"/>
  <c r="O61" i="69"/>
  <c r="O60" i="69"/>
  <c r="J60" i="69"/>
  <c r="O59" i="69"/>
  <c r="J59" i="69"/>
  <c r="O58" i="69"/>
  <c r="O57" i="69"/>
  <c r="O56" i="69"/>
  <c r="J56" i="69"/>
  <c r="O55" i="69"/>
  <c r="J55" i="69"/>
  <c r="O54" i="69"/>
  <c r="J54" i="69"/>
  <c r="O53" i="69"/>
  <c r="J53" i="69"/>
  <c r="O52" i="69"/>
  <c r="J52" i="69"/>
  <c r="O51" i="69"/>
  <c r="O50" i="69"/>
  <c r="J50" i="69"/>
  <c r="O49" i="69"/>
  <c r="O48" i="69"/>
  <c r="J48" i="69"/>
  <c r="O47" i="69"/>
  <c r="J47" i="69"/>
  <c r="O46" i="69"/>
  <c r="O45" i="69"/>
  <c r="J45" i="69"/>
  <c r="O44" i="69"/>
  <c r="J44" i="69"/>
  <c r="O43" i="69"/>
  <c r="O42" i="69"/>
  <c r="O41" i="69"/>
  <c r="O40" i="69"/>
  <c r="J40" i="69"/>
  <c r="O39" i="69"/>
  <c r="J39" i="69"/>
  <c r="F37" i="69"/>
  <c r="D37" i="69"/>
  <c r="C37" i="69"/>
  <c r="O36" i="69"/>
  <c r="O35" i="69"/>
  <c r="J35" i="69"/>
  <c r="O34" i="69"/>
  <c r="J34" i="69"/>
  <c r="O33" i="69"/>
  <c r="J33" i="69"/>
  <c r="O32" i="69"/>
  <c r="J32" i="69"/>
  <c r="O31" i="69"/>
  <c r="J31" i="69"/>
  <c r="O30" i="69"/>
  <c r="I30" i="69"/>
  <c r="O29" i="69"/>
  <c r="J29" i="69"/>
  <c r="P29" i="69" s="1"/>
  <c r="O28" i="69"/>
  <c r="J28" i="69"/>
  <c r="K26" i="69"/>
  <c r="I26" i="69"/>
  <c r="H26" i="69"/>
  <c r="G26" i="69"/>
  <c r="F26" i="69"/>
  <c r="D26" i="69"/>
  <c r="C26" i="69"/>
  <c r="O25" i="69"/>
  <c r="J25" i="69"/>
  <c r="P25" i="69" s="1"/>
  <c r="O24" i="69"/>
  <c r="J24" i="69"/>
  <c r="O23" i="69"/>
  <c r="J23" i="69"/>
  <c r="O22" i="69"/>
  <c r="P22" i="69"/>
  <c r="J22" i="69"/>
  <c r="O21" i="69"/>
  <c r="J21" i="69"/>
  <c r="O20" i="69"/>
  <c r="J20" i="69"/>
  <c r="P20" i="69" s="1"/>
  <c r="O19" i="69"/>
  <c r="J19" i="69"/>
  <c r="O18" i="69"/>
  <c r="J18" i="69"/>
  <c r="O17" i="69"/>
  <c r="J17" i="69"/>
  <c r="O16" i="69"/>
  <c r="J16" i="69"/>
  <c r="O15" i="69"/>
  <c r="P15" i="69"/>
  <c r="O14" i="69"/>
  <c r="P14" i="69"/>
  <c r="F13" i="69"/>
  <c r="F27" i="69" s="1"/>
  <c r="D13" i="69"/>
  <c r="C13" i="69"/>
  <c r="C94" i="69" s="1"/>
  <c r="O12" i="69"/>
  <c r="J12" i="69"/>
  <c r="O10" i="69"/>
  <c r="P10" i="69" s="1"/>
  <c r="J10" i="69"/>
  <c r="O9" i="69"/>
  <c r="J9" i="69"/>
  <c r="O8" i="69"/>
  <c r="J8" i="69"/>
  <c r="P8" i="69" s="1"/>
  <c r="O7" i="69"/>
  <c r="M93" i="68"/>
  <c r="M48" i="68"/>
  <c r="H79" i="68"/>
  <c r="E53" i="68"/>
  <c r="I53" i="68" s="1"/>
  <c r="H53" i="68"/>
  <c r="E94" i="68"/>
  <c r="I94" i="68" s="1"/>
  <c r="E93" i="68"/>
  <c r="I93" i="68" s="1"/>
  <c r="E92" i="68"/>
  <c r="I92" i="68" s="1"/>
  <c r="E91" i="68"/>
  <c r="E90" i="68"/>
  <c r="E89" i="68"/>
  <c r="I89" i="68" s="1"/>
  <c r="E88" i="68"/>
  <c r="E87" i="68"/>
  <c r="E83" i="68"/>
  <c r="K83" i="68" s="1"/>
  <c r="M83" i="68" s="1"/>
  <c r="E82" i="68"/>
  <c r="K82" i="68" s="1"/>
  <c r="M82" i="68" s="1"/>
  <c r="E80" i="68"/>
  <c r="E79" i="68"/>
  <c r="K79" i="68"/>
  <c r="M79" i="68" s="1"/>
  <c r="E78" i="68"/>
  <c r="E77" i="68"/>
  <c r="I77" i="68" s="1"/>
  <c r="E76" i="68"/>
  <c r="E74" i="68"/>
  <c r="I74" i="68" s="1"/>
  <c r="E73" i="68"/>
  <c r="K73" i="68" s="1"/>
  <c r="M73" i="68" s="1"/>
  <c r="E72" i="68"/>
  <c r="E71" i="68"/>
  <c r="E70" i="68"/>
  <c r="H70" i="68" s="1"/>
  <c r="J70" i="68" s="1"/>
  <c r="L70" i="68" s="1"/>
  <c r="E69" i="68"/>
  <c r="K69" i="68" s="1"/>
  <c r="E68" i="68"/>
  <c r="H68" i="68" s="1"/>
  <c r="E67" i="68"/>
  <c r="E66" i="68"/>
  <c r="H66" i="68" s="1"/>
  <c r="E65" i="68"/>
  <c r="I65" i="68" s="1"/>
  <c r="E64" i="68"/>
  <c r="H64" i="68" s="1"/>
  <c r="K64" i="68"/>
  <c r="M64" i="68" s="1"/>
  <c r="E63" i="68"/>
  <c r="I63" i="68" s="1"/>
  <c r="E60" i="68"/>
  <c r="K60" i="68" s="1"/>
  <c r="M60" i="68" s="1"/>
  <c r="E59" i="68"/>
  <c r="H59" i="68" s="1"/>
  <c r="E51" i="68"/>
  <c r="H51" i="68" s="1"/>
  <c r="E48" i="68"/>
  <c r="K48" i="68" s="1"/>
  <c r="E45" i="68"/>
  <c r="H45" i="68" s="1"/>
  <c r="J45" i="68" s="1"/>
  <c r="L45" i="68" s="1"/>
  <c r="O45" i="68" s="1"/>
  <c r="E44" i="68"/>
  <c r="K44" i="68" s="1"/>
  <c r="E43" i="68"/>
  <c r="H43" i="68" s="1"/>
  <c r="E38" i="68"/>
  <c r="H38" i="68" s="1"/>
  <c r="E32" i="68"/>
  <c r="I32" i="68" s="1"/>
  <c r="D95" i="68"/>
  <c r="D85" i="68"/>
  <c r="D39" i="68"/>
  <c r="E27" i="68"/>
  <c r="D27" i="68"/>
  <c r="D13" i="68"/>
  <c r="D99" i="68" s="1"/>
  <c r="G93" i="68"/>
  <c r="N93" i="68"/>
  <c r="E11" i="68"/>
  <c r="E13" i="68" s="1"/>
  <c r="E28" i="68" s="1"/>
  <c r="K108" i="68"/>
  <c r="I109" i="68"/>
  <c r="J125" i="68"/>
  <c r="M125" i="68" s="1"/>
  <c r="I125" i="68"/>
  <c r="L124" i="68"/>
  <c r="L123" i="68"/>
  <c r="L122" i="68"/>
  <c r="L120" i="68"/>
  <c r="L119" i="68"/>
  <c r="I117" i="68"/>
  <c r="I133" i="68"/>
  <c r="J10" i="65"/>
  <c r="I10" i="65"/>
  <c r="H10" i="65"/>
  <c r="E10" i="65"/>
  <c r="K43" i="65"/>
  <c r="K122" i="65"/>
  <c r="K121" i="65"/>
  <c r="K130" i="65"/>
  <c r="H133" i="68"/>
  <c r="H117" i="68"/>
  <c r="H109" i="68"/>
  <c r="G97" i="68"/>
  <c r="K95" i="68"/>
  <c r="F95" i="68"/>
  <c r="C95" i="68"/>
  <c r="N94" i="68"/>
  <c r="M94" i="68"/>
  <c r="G94" i="68"/>
  <c r="N92" i="68"/>
  <c r="M92" i="68"/>
  <c r="G92" i="68"/>
  <c r="N91" i="68"/>
  <c r="M91" i="68"/>
  <c r="G91" i="68"/>
  <c r="N90" i="68"/>
  <c r="M90" i="68"/>
  <c r="G90" i="68"/>
  <c r="N89" i="68"/>
  <c r="N95" i="68" s="1"/>
  <c r="M89" i="68"/>
  <c r="G89" i="68"/>
  <c r="N88" i="68"/>
  <c r="M88" i="68"/>
  <c r="G88" i="68"/>
  <c r="N87" i="68"/>
  <c r="M87" i="68"/>
  <c r="G87" i="68"/>
  <c r="G95" i="68" s="1"/>
  <c r="F85" i="68"/>
  <c r="C85" i="68"/>
  <c r="H119" i="68" s="1"/>
  <c r="H125" i="68" s="1"/>
  <c r="N84" i="68"/>
  <c r="M84" i="68"/>
  <c r="J84" i="68"/>
  <c r="L84" i="68" s="1"/>
  <c r="G84" i="68"/>
  <c r="N83" i="68"/>
  <c r="G83" i="68"/>
  <c r="N82" i="68"/>
  <c r="G82" i="68"/>
  <c r="N81" i="68"/>
  <c r="M81" i="68"/>
  <c r="O81" i="68" s="1"/>
  <c r="J81" i="68"/>
  <c r="L81" i="68"/>
  <c r="G81" i="68"/>
  <c r="N80" i="68"/>
  <c r="G80" i="68"/>
  <c r="N79" i="68"/>
  <c r="G79" i="68"/>
  <c r="N78" i="68"/>
  <c r="G78" i="68"/>
  <c r="N77" i="68"/>
  <c r="G77" i="68"/>
  <c r="N76" i="68"/>
  <c r="G76" i="68"/>
  <c r="N75" i="68"/>
  <c r="M75" i="68"/>
  <c r="J75" i="68"/>
  <c r="L75" i="68" s="1"/>
  <c r="O75" i="68" s="1"/>
  <c r="G75" i="68"/>
  <c r="N74" i="68"/>
  <c r="G74" i="68"/>
  <c r="N73" i="68"/>
  <c r="G73" i="68"/>
  <c r="N72" i="68"/>
  <c r="G72" i="68"/>
  <c r="N71" i="68"/>
  <c r="G71" i="68"/>
  <c r="N70" i="68"/>
  <c r="G70" i="68"/>
  <c r="N69" i="68"/>
  <c r="G69" i="68"/>
  <c r="N68" i="68"/>
  <c r="G68" i="68"/>
  <c r="N67" i="68"/>
  <c r="G67" i="68"/>
  <c r="N66" i="68"/>
  <c r="G66" i="68"/>
  <c r="N65" i="68"/>
  <c r="G65" i="68"/>
  <c r="N64" i="68"/>
  <c r="G64" i="68"/>
  <c r="N63" i="68"/>
  <c r="M63" i="68"/>
  <c r="G63" i="68"/>
  <c r="N62" i="68"/>
  <c r="M62" i="68"/>
  <c r="J62" i="68"/>
  <c r="L62" i="68"/>
  <c r="G62" i="68"/>
  <c r="N61" i="68"/>
  <c r="M61" i="68"/>
  <c r="J61" i="68"/>
  <c r="L61" i="68" s="1"/>
  <c r="G61" i="68"/>
  <c r="N60" i="68"/>
  <c r="G60" i="68"/>
  <c r="N59" i="68"/>
  <c r="G59" i="68"/>
  <c r="N58" i="68"/>
  <c r="M58" i="68"/>
  <c r="J58" i="68"/>
  <c r="L58" i="68"/>
  <c r="G58" i="68"/>
  <c r="N57" i="68"/>
  <c r="M57" i="68"/>
  <c r="J57" i="68"/>
  <c r="L57" i="68" s="1"/>
  <c r="O57" i="68" s="1"/>
  <c r="G57" i="68"/>
  <c r="N56" i="68"/>
  <c r="M56" i="68"/>
  <c r="J56" i="68"/>
  <c r="L56" i="68" s="1"/>
  <c r="G56" i="68"/>
  <c r="N55" i="68"/>
  <c r="M55" i="68"/>
  <c r="J55" i="68"/>
  <c r="L55" i="68" s="1"/>
  <c r="G55" i="68"/>
  <c r="N54" i="68"/>
  <c r="M54" i="68"/>
  <c r="J54" i="68"/>
  <c r="L54" i="68" s="1"/>
  <c r="O54" i="68" s="1"/>
  <c r="G54" i="68"/>
  <c r="N53" i="68"/>
  <c r="G53" i="68"/>
  <c r="N52" i="68"/>
  <c r="M52" i="68"/>
  <c r="J52" i="68"/>
  <c r="L52" i="68" s="1"/>
  <c r="G52" i="68"/>
  <c r="O52" i="68"/>
  <c r="N51" i="68"/>
  <c r="G51" i="68"/>
  <c r="N50" i="68"/>
  <c r="M50" i="68"/>
  <c r="O50" i="68" s="1"/>
  <c r="J50" i="68"/>
  <c r="L50" i="68" s="1"/>
  <c r="G50" i="68"/>
  <c r="N49" i="68"/>
  <c r="M49" i="68"/>
  <c r="O49" i="68" s="1"/>
  <c r="J49" i="68"/>
  <c r="L49" i="68" s="1"/>
  <c r="G49" i="68"/>
  <c r="N48" i="68"/>
  <c r="G48" i="68"/>
  <c r="N47" i="68"/>
  <c r="M47" i="68"/>
  <c r="J47" i="68"/>
  <c r="L47" i="68" s="1"/>
  <c r="G47" i="68"/>
  <c r="O47" i="68" s="1"/>
  <c r="N46" i="68"/>
  <c r="M46" i="68"/>
  <c r="J46" i="68"/>
  <c r="L46" i="68"/>
  <c r="O46" i="68" s="1"/>
  <c r="G46" i="68"/>
  <c r="N45" i="68"/>
  <c r="G45" i="68"/>
  <c r="N44" i="68"/>
  <c r="N85" i="68" s="1"/>
  <c r="G44" i="68"/>
  <c r="N43" i="68"/>
  <c r="G43" i="68"/>
  <c r="N42" i="68"/>
  <c r="M42" i="68"/>
  <c r="J42" i="68"/>
  <c r="L42" i="68" s="1"/>
  <c r="G42" i="68"/>
  <c r="N41" i="68"/>
  <c r="M41" i="68"/>
  <c r="J41" i="68"/>
  <c r="L41" i="68" s="1"/>
  <c r="G41" i="68"/>
  <c r="F39" i="68"/>
  <c r="C39" i="68"/>
  <c r="N38" i="68"/>
  <c r="G38" i="68"/>
  <c r="N37" i="68"/>
  <c r="M37" i="68"/>
  <c r="J37" i="68"/>
  <c r="L37" i="68" s="1"/>
  <c r="G37" i="68"/>
  <c r="N36" i="68"/>
  <c r="M36" i="68"/>
  <c r="J36" i="68"/>
  <c r="L36" i="68"/>
  <c r="O36" i="68" s="1"/>
  <c r="G36" i="68"/>
  <c r="N35" i="68"/>
  <c r="M35" i="68"/>
  <c r="J35" i="68"/>
  <c r="L35" i="68" s="1"/>
  <c r="G35" i="68"/>
  <c r="N34" i="68"/>
  <c r="M34" i="68"/>
  <c r="J34" i="68"/>
  <c r="L34" i="68" s="1"/>
  <c r="G34" i="68"/>
  <c r="N33" i="68"/>
  <c r="M33" i="68"/>
  <c r="J33" i="68"/>
  <c r="L33" i="68" s="1"/>
  <c r="O33" i="68" s="1"/>
  <c r="G33" i="68"/>
  <c r="N32" i="68"/>
  <c r="G32" i="68"/>
  <c r="N31" i="68"/>
  <c r="M31" i="68"/>
  <c r="J31" i="68"/>
  <c r="L31" i="68"/>
  <c r="G31" i="68"/>
  <c r="N30" i="68"/>
  <c r="M30" i="68"/>
  <c r="J30" i="68"/>
  <c r="L30" i="68" s="1"/>
  <c r="G30" i="68"/>
  <c r="O30" i="68" s="1"/>
  <c r="G29" i="68"/>
  <c r="K27" i="68"/>
  <c r="I27" i="68"/>
  <c r="H27" i="68"/>
  <c r="G27" i="68"/>
  <c r="F27" i="68"/>
  <c r="C27" i="68"/>
  <c r="N26" i="68"/>
  <c r="M26" i="68"/>
  <c r="J26" i="68"/>
  <c r="L26" i="68"/>
  <c r="N25" i="68"/>
  <c r="M25" i="68"/>
  <c r="J25" i="68"/>
  <c r="L25" i="68" s="1"/>
  <c r="N24" i="68"/>
  <c r="M24" i="68"/>
  <c r="O24" i="68" s="1"/>
  <c r="J24" i="68"/>
  <c r="L24" i="68" s="1"/>
  <c r="N23" i="68"/>
  <c r="M23" i="68"/>
  <c r="J23" i="68"/>
  <c r="L23" i="68" s="1"/>
  <c r="O23" i="68" s="1"/>
  <c r="N22" i="68"/>
  <c r="M22" i="68"/>
  <c r="J22" i="68"/>
  <c r="L22" i="68" s="1"/>
  <c r="O22" i="68" s="1"/>
  <c r="N21" i="68"/>
  <c r="M21" i="68"/>
  <c r="J21" i="68"/>
  <c r="L21" i="68" s="1"/>
  <c r="N20" i="68"/>
  <c r="M20" i="68"/>
  <c r="O20" i="68" s="1"/>
  <c r="J20" i="68"/>
  <c r="L20" i="68" s="1"/>
  <c r="N19" i="68"/>
  <c r="M19" i="68"/>
  <c r="J19" i="68"/>
  <c r="L19" i="68" s="1"/>
  <c r="O19" i="68" s="1"/>
  <c r="N18" i="68"/>
  <c r="M18" i="68"/>
  <c r="J18" i="68"/>
  <c r="L18" i="68" s="1"/>
  <c r="O18" i="68" s="1"/>
  <c r="N17" i="68"/>
  <c r="M17" i="68"/>
  <c r="J17" i="68"/>
  <c r="N16" i="68"/>
  <c r="M16" i="68"/>
  <c r="L16" i="68"/>
  <c r="N15" i="68"/>
  <c r="M15" i="68"/>
  <c r="L15" i="68"/>
  <c r="O15" i="68" s="1"/>
  <c r="F13" i="68"/>
  <c r="C13" i="68"/>
  <c r="C99" i="68"/>
  <c r="N12" i="68"/>
  <c r="M12" i="68"/>
  <c r="J12" i="68"/>
  <c r="L12" i="68" s="1"/>
  <c r="G12" i="68"/>
  <c r="N11" i="68"/>
  <c r="G11" i="68"/>
  <c r="N10" i="68"/>
  <c r="M10" i="68"/>
  <c r="J10" i="68"/>
  <c r="L10" i="68" s="1"/>
  <c r="O10" i="68" s="1"/>
  <c r="G10" i="68"/>
  <c r="N9" i="68"/>
  <c r="M9" i="68"/>
  <c r="J9" i="68"/>
  <c r="L9" i="68" s="1"/>
  <c r="G9" i="68"/>
  <c r="O9" i="68" s="1"/>
  <c r="N8" i="68"/>
  <c r="M8" i="68"/>
  <c r="J8" i="68"/>
  <c r="G8" i="68"/>
  <c r="N7" i="68"/>
  <c r="N13" i="68" s="1"/>
  <c r="G7" i="68"/>
  <c r="H241" i="20"/>
  <c r="H161" i="20"/>
  <c r="H112" i="64"/>
  <c r="J126" i="64"/>
  <c r="K67" i="65"/>
  <c r="K15" i="65"/>
  <c r="K57" i="65"/>
  <c r="H111" i="64"/>
  <c r="H110" i="64"/>
  <c r="H109" i="64"/>
  <c r="H108" i="64"/>
  <c r="H107" i="64"/>
  <c r="H106" i="64"/>
  <c r="H105" i="64"/>
  <c r="H103" i="64"/>
  <c r="H102" i="64"/>
  <c r="H101" i="64"/>
  <c r="H100" i="64"/>
  <c r="H99" i="64"/>
  <c r="H98" i="64"/>
  <c r="H97" i="64"/>
  <c r="H96" i="64"/>
  <c r="H95" i="64"/>
  <c r="H94" i="64"/>
  <c r="H93" i="64"/>
  <c r="H92" i="64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58" i="64"/>
  <c r="H124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H64" i="64"/>
  <c r="H63" i="64"/>
  <c r="H62" i="64"/>
  <c r="H61" i="64"/>
  <c r="H60" i="64"/>
  <c r="H59" i="64"/>
  <c r="H57" i="64"/>
  <c r="H56" i="64"/>
  <c r="H55" i="64"/>
  <c r="H54" i="64"/>
  <c r="H53" i="64"/>
  <c r="H52" i="64"/>
  <c r="H51" i="64"/>
  <c r="H50" i="64"/>
  <c r="H49" i="64"/>
  <c r="H48" i="64"/>
  <c r="H47" i="64"/>
  <c r="H46" i="64"/>
  <c r="H45" i="64"/>
  <c r="H44" i="64"/>
  <c r="H126" i="64" s="1"/>
  <c r="J16" i="16"/>
  <c r="J51" i="16"/>
  <c r="C10" i="16"/>
  <c r="C9" i="16" s="1"/>
  <c r="C7" i="57" s="1"/>
  <c r="J26" i="16"/>
  <c r="I18" i="27"/>
  <c r="J18" i="27" s="1"/>
  <c r="I17" i="27"/>
  <c r="J17" i="27" s="1"/>
  <c r="I16" i="27"/>
  <c r="J16" i="27" s="1"/>
  <c r="I15" i="27"/>
  <c r="J15" i="27" s="1"/>
  <c r="I14" i="27"/>
  <c r="J14" i="27" s="1"/>
  <c r="I13" i="27"/>
  <c r="J13" i="27" s="1"/>
  <c r="I10" i="27"/>
  <c r="J10" i="27" s="1"/>
  <c r="I12" i="27"/>
  <c r="J12" i="27" s="1"/>
  <c r="I11" i="27"/>
  <c r="J11" i="27" s="1"/>
  <c r="I9" i="27"/>
  <c r="J9" i="27" s="1"/>
  <c r="I8" i="27"/>
  <c r="J8" i="27" s="1"/>
  <c r="I7" i="27"/>
  <c r="J7" i="27" s="1"/>
  <c r="G19" i="27"/>
  <c r="K55" i="65"/>
  <c r="K56" i="65"/>
  <c r="K45" i="65"/>
  <c r="D106" i="65"/>
  <c r="D27" i="65"/>
  <c r="J154" i="65"/>
  <c r="J153" i="65" s="1"/>
  <c r="J150" i="65"/>
  <c r="J149" i="65" s="1"/>
  <c r="J139" i="65"/>
  <c r="J134" i="65"/>
  <c r="J125" i="65"/>
  <c r="J118" i="65"/>
  <c r="J115" i="65"/>
  <c r="J111" i="65"/>
  <c r="J106" i="65"/>
  <c r="J100" i="65"/>
  <c r="J92" i="65"/>
  <c r="J86" i="65"/>
  <c r="J70" i="65"/>
  <c r="J68" i="65"/>
  <c r="J63" i="65" s="1"/>
  <c r="J40" i="65" s="1"/>
  <c r="J41" i="65"/>
  <c r="J30" i="65"/>
  <c r="J27" i="65"/>
  <c r="J24" i="65"/>
  <c r="J17" i="65"/>
  <c r="D111" i="65"/>
  <c r="D105" i="65" s="1"/>
  <c r="K72" i="65"/>
  <c r="K74" i="65"/>
  <c r="K83" i="65"/>
  <c r="D63" i="65"/>
  <c r="K61" i="65"/>
  <c r="K54" i="65"/>
  <c r="K58" i="65"/>
  <c r="K59" i="65"/>
  <c r="K60" i="65"/>
  <c r="K47" i="65"/>
  <c r="K48" i="65"/>
  <c r="K49" i="65"/>
  <c r="K50" i="65"/>
  <c r="K51" i="65"/>
  <c r="K52" i="65"/>
  <c r="K32" i="65"/>
  <c r="K12" i="65"/>
  <c r="L126" i="64"/>
  <c r="H19" i="27"/>
  <c r="F19" i="27"/>
  <c r="K126" i="64"/>
  <c r="I126" i="64"/>
  <c r="E126" i="64"/>
  <c r="H27" i="67"/>
  <c r="K17" i="67"/>
  <c r="K16" i="67"/>
  <c r="H15" i="66"/>
  <c r="I154" i="65"/>
  <c r="I153" i="65" s="1"/>
  <c r="H154" i="65"/>
  <c r="H153" i="65" s="1"/>
  <c r="I150" i="65"/>
  <c r="I149" i="65" s="1"/>
  <c r="H150" i="65"/>
  <c r="H149" i="65" s="1"/>
  <c r="F150" i="65"/>
  <c r="F149" i="65" s="1"/>
  <c r="E150" i="65"/>
  <c r="E149" i="65" s="1"/>
  <c r="I139" i="65"/>
  <c r="H139" i="65"/>
  <c r="E139" i="65"/>
  <c r="I134" i="65"/>
  <c r="H134" i="65"/>
  <c r="F134" i="65"/>
  <c r="E134" i="65"/>
  <c r="I125" i="65"/>
  <c r="H125" i="65"/>
  <c r="F125" i="65"/>
  <c r="I118" i="65"/>
  <c r="H118" i="65"/>
  <c r="I115" i="65"/>
  <c r="H115" i="65"/>
  <c r="H114" i="65" s="1"/>
  <c r="F115" i="65"/>
  <c r="E115" i="65"/>
  <c r="I111" i="65"/>
  <c r="H111" i="65"/>
  <c r="H105" i="65" s="1"/>
  <c r="F111" i="65"/>
  <c r="E111" i="65"/>
  <c r="I106" i="65"/>
  <c r="I105" i="65"/>
  <c r="H106" i="65"/>
  <c r="E106" i="65"/>
  <c r="E105" i="65" s="1"/>
  <c r="I100" i="65"/>
  <c r="H100" i="65"/>
  <c r="F100" i="65"/>
  <c r="E100" i="65"/>
  <c r="I92" i="65"/>
  <c r="H92" i="65"/>
  <c r="F92" i="65"/>
  <c r="E92" i="65"/>
  <c r="I86" i="65"/>
  <c r="H86" i="65"/>
  <c r="F86" i="65"/>
  <c r="I70" i="65"/>
  <c r="H70" i="65"/>
  <c r="I63" i="65"/>
  <c r="H63" i="65"/>
  <c r="F63" i="65"/>
  <c r="I41" i="65"/>
  <c r="H41" i="65"/>
  <c r="H40" i="65" s="1"/>
  <c r="E41" i="65"/>
  <c r="I27" i="65"/>
  <c r="H27" i="65"/>
  <c r="E27" i="65"/>
  <c r="I24" i="65"/>
  <c r="H24" i="65"/>
  <c r="F24" i="65"/>
  <c r="E24" i="65"/>
  <c r="I17" i="65"/>
  <c r="H17" i="65"/>
  <c r="E17" i="65"/>
  <c r="K156" i="65"/>
  <c r="K151" i="65"/>
  <c r="K150" i="65" s="1"/>
  <c r="K149" i="65" s="1"/>
  <c r="C25" i="57" s="1"/>
  <c r="K145" i="65"/>
  <c r="K144" i="65"/>
  <c r="K143" i="65"/>
  <c r="K142" i="65"/>
  <c r="K137" i="65"/>
  <c r="K136" i="65"/>
  <c r="K135" i="65"/>
  <c r="K132" i="65"/>
  <c r="K127" i="65"/>
  <c r="K126" i="65"/>
  <c r="K120" i="65"/>
  <c r="K116" i="65"/>
  <c r="K115" i="65" s="1"/>
  <c r="K112" i="65"/>
  <c r="K111" i="65" s="1"/>
  <c r="K109" i="65"/>
  <c r="K108" i="65"/>
  <c r="K107" i="65"/>
  <c r="K103" i="65"/>
  <c r="K102" i="65"/>
  <c r="K101" i="65"/>
  <c r="K100" i="65" s="1"/>
  <c r="K97" i="65"/>
  <c r="K96" i="65"/>
  <c r="K95" i="65"/>
  <c r="K94" i="65"/>
  <c r="K93" i="65"/>
  <c r="K87" i="65"/>
  <c r="K82" i="65"/>
  <c r="K18" i="65"/>
  <c r="K13" i="65"/>
  <c r="D154" i="65"/>
  <c r="D153" i="65" s="1"/>
  <c r="D150" i="65"/>
  <c r="D149" i="65"/>
  <c r="D139" i="65"/>
  <c r="D134" i="65"/>
  <c r="D125" i="65"/>
  <c r="D124" i="65" s="1"/>
  <c r="D115" i="65"/>
  <c r="D114" i="65" s="1"/>
  <c r="D100" i="65"/>
  <c r="D92" i="65"/>
  <c r="I70" i="16"/>
  <c r="I69" i="16" s="1"/>
  <c r="I66" i="16"/>
  <c r="I65" i="16" s="1"/>
  <c r="H66" i="16"/>
  <c r="H65" i="16" s="1"/>
  <c r="E66" i="16"/>
  <c r="E65" i="16" s="1"/>
  <c r="D66" i="16"/>
  <c r="D65" i="16" s="1"/>
  <c r="I61" i="16"/>
  <c r="I60" i="16" s="1"/>
  <c r="H61" i="16"/>
  <c r="H60" i="16" s="1"/>
  <c r="D61" i="16"/>
  <c r="D60" i="16" s="1"/>
  <c r="I58" i="16"/>
  <c r="I57" i="16"/>
  <c r="H58" i="16"/>
  <c r="H57" i="16" s="1"/>
  <c r="E58" i="16"/>
  <c r="E57" i="16" s="1"/>
  <c r="D58" i="16"/>
  <c r="D57" i="16" s="1"/>
  <c r="I54" i="16"/>
  <c r="H54" i="16"/>
  <c r="E54" i="16"/>
  <c r="D54" i="16"/>
  <c r="I47" i="16"/>
  <c r="H47" i="16"/>
  <c r="E47" i="16"/>
  <c r="D47" i="16"/>
  <c r="I45" i="16"/>
  <c r="H45" i="16"/>
  <c r="H44" i="16" s="1"/>
  <c r="E45" i="16"/>
  <c r="D45" i="16"/>
  <c r="I41" i="16"/>
  <c r="I40" i="16" s="1"/>
  <c r="H41" i="16"/>
  <c r="H40" i="16" s="1"/>
  <c r="E41" i="16"/>
  <c r="E40" i="16" s="1"/>
  <c r="D41" i="16"/>
  <c r="D40" i="16" s="1"/>
  <c r="I21" i="16"/>
  <c r="I20" i="16" s="1"/>
  <c r="H21" i="16"/>
  <c r="E21" i="16"/>
  <c r="D21" i="16"/>
  <c r="I36" i="16"/>
  <c r="H36" i="16"/>
  <c r="E36" i="16"/>
  <c r="D36" i="16"/>
  <c r="J71" i="16"/>
  <c r="J68" i="16"/>
  <c r="J67" i="16"/>
  <c r="J64" i="16"/>
  <c r="C14" i="57" s="1"/>
  <c r="J56" i="16"/>
  <c r="J55" i="16"/>
  <c r="J53" i="16"/>
  <c r="J52" i="16"/>
  <c r="J50" i="16"/>
  <c r="J49" i="16"/>
  <c r="J48" i="16"/>
  <c r="J46" i="16"/>
  <c r="J45" i="16" s="1"/>
  <c r="J43" i="16"/>
  <c r="J42" i="16"/>
  <c r="J39" i="16"/>
  <c r="J38" i="16"/>
  <c r="J37" i="16"/>
  <c r="J35" i="16"/>
  <c r="J33" i="16"/>
  <c r="J32" i="16"/>
  <c r="J31" i="16"/>
  <c r="J30" i="16"/>
  <c r="J29" i="16"/>
  <c r="J28" i="16"/>
  <c r="J27" i="16"/>
  <c r="J25" i="16"/>
  <c r="J24" i="16"/>
  <c r="J23" i="16"/>
  <c r="J22" i="16"/>
  <c r="J19" i="16"/>
  <c r="J18" i="16"/>
  <c r="J17" i="16"/>
  <c r="J15" i="16"/>
  <c r="J14" i="16"/>
  <c r="J13" i="16"/>
  <c r="J12" i="16"/>
  <c r="C66" i="16"/>
  <c r="C65" i="16" s="1"/>
  <c r="C61" i="16"/>
  <c r="C60" i="16"/>
  <c r="C58" i="16"/>
  <c r="C57" i="16" s="1"/>
  <c r="C54" i="16"/>
  <c r="C47" i="16"/>
  <c r="C45" i="16"/>
  <c r="C41" i="16"/>
  <c r="C40" i="16" s="1"/>
  <c r="C21" i="16"/>
  <c r="C20" i="16" s="1"/>
  <c r="I30" i="65"/>
  <c r="H30" i="65"/>
  <c r="I10" i="16"/>
  <c r="I9" i="16" s="1"/>
  <c r="H10" i="16"/>
  <c r="H9" i="16" s="1"/>
  <c r="E10" i="16"/>
  <c r="E9" i="16" s="1"/>
  <c r="D10" i="16"/>
  <c r="D9" i="16" s="1"/>
  <c r="E19" i="27"/>
  <c r="M4" i="12"/>
  <c r="M3" i="12"/>
  <c r="M7" i="12"/>
  <c r="M5" i="12"/>
  <c r="M6" i="12"/>
  <c r="J11" i="16"/>
  <c r="M8" i="12"/>
  <c r="K79" i="65"/>
  <c r="K73" i="65"/>
  <c r="K44" i="65"/>
  <c r="K65" i="65"/>
  <c r="D17" i="65"/>
  <c r="K66" i="65"/>
  <c r="K80" i="65"/>
  <c r="F126" i="64"/>
  <c r="M126" i="64"/>
  <c r="L8" i="68"/>
  <c r="L17" i="68"/>
  <c r="O17" i="68" s="1"/>
  <c r="M44" i="68"/>
  <c r="E39" i="68"/>
  <c r="O31" i="68"/>
  <c r="O16" i="68"/>
  <c r="M95" i="68"/>
  <c r="G13" i="68"/>
  <c r="G28" i="68" s="1"/>
  <c r="O62" i="68"/>
  <c r="K125" i="68"/>
  <c r="I85" i="69"/>
  <c r="H91" i="69"/>
  <c r="I42" i="69"/>
  <c r="K42" i="69"/>
  <c r="H30" i="69"/>
  <c r="K75" i="69"/>
  <c r="K41" i="69"/>
  <c r="I91" i="68"/>
  <c r="H91" i="68"/>
  <c r="K38" i="68"/>
  <c r="I48" i="68"/>
  <c r="H48" i="68"/>
  <c r="J48" i="68" s="1"/>
  <c r="L48" i="68" s="1"/>
  <c r="O48" i="68" s="1"/>
  <c r="H63" i="68"/>
  <c r="K67" i="68"/>
  <c r="M67" i="68" s="1"/>
  <c r="I67" i="68"/>
  <c r="H67" i="68"/>
  <c r="I71" i="68"/>
  <c r="K71" i="68"/>
  <c r="M71" i="68" s="1"/>
  <c r="I76" i="68"/>
  <c r="H76" i="68"/>
  <c r="K76" i="68"/>
  <c r="M76" i="68" s="1"/>
  <c r="H80" i="68"/>
  <c r="I80" i="68"/>
  <c r="K80" i="68"/>
  <c r="M80" i="68" s="1"/>
  <c r="H87" i="68"/>
  <c r="I87" i="68"/>
  <c r="C28" i="68"/>
  <c r="H134" i="68"/>
  <c r="H71" i="68"/>
  <c r="I38" i="68"/>
  <c r="O25" i="68"/>
  <c r="I88" i="68"/>
  <c r="H88" i="68"/>
  <c r="H73" i="68"/>
  <c r="H89" i="68"/>
  <c r="I44" i="68"/>
  <c r="I60" i="68"/>
  <c r="I70" i="68"/>
  <c r="I79" i="68"/>
  <c r="J79" i="68"/>
  <c r="L79" i="68" s="1"/>
  <c r="O79" i="68" s="1"/>
  <c r="K32" i="68"/>
  <c r="K53" i="68"/>
  <c r="M53" i="68" s="1"/>
  <c r="K68" i="68"/>
  <c r="M68" i="68"/>
  <c r="H93" i="68"/>
  <c r="J93" i="68" s="1"/>
  <c r="L93" i="68" s="1"/>
  <c r="O93" i="68" s="1"/>
  <c r="I59" i="68"/>
  <c r="J59" i="68" s="1"/>
  <c r="L59" i="68" s="1"/>
  <c r="K59" i="68"/>
  <c r="M59" i="68" s="1"/>
  <c r="I69" i="68"/>
  <c r="M69" i="68"/>
  <c r="I78" i="68"/>
  <c r="H78" i="68"/>
  <c r="H11" i="68"/>
  <c r="H13" i="68" s="1"/>
  <c r="H28" i="68" s="1"/>
  <c r="K78" i="68"/>
  <c r="M78" i="68" s="1"/>
  <c r="H61" i="69"/>
  <c r="J61" i="69" s="1"/>
  <c r="P61" i="69" s="1"/>
  <c r="H75" i="69"/>
  <c r="J75" i="69" s="1"/>
  <c r="K45" i="68"/>
  <c r="I45" i="68"/>
  <c r="K66" i="68"/>
  <c r="M66" i="68" s="1"/>
  <c r="H74" i="68"/>
  <c r="I90" i="68"/>
  <c r="H90" i="68"/>
  <c r="J90" i="68"/>
  <c r="L90" i="68" s="1"/>
  <c r="O90" i="68" s="1"/>
  <c r="H32" i="68"/>
  <c r="H44" i="68"/>
  <c r="H65" i="68"/>
  <c r="J65" i="68" s="1"/>
  <c r="L65" i="68" s="1"/>
  <c r="H77" i="68"/>
  <c r="H94" i="68"/>
  <c r="K65" i="68"/>
  <c r="M65" i="68" s="1"/>
  <c r="G68" i="69"/>
  <c r="I68" i="69"/>
  <c r="J68" i="69" s="1"/>
  <c r="O11" i="69"/>
  <c r="G30" i="69"/>
  <c r="K30" i="69"/>
  <c r="J80" i="68"/>
  <c r="L80" i="68" s="1"/>
  <c r="M32" i="68"/>
  <c r="J44" i="68"/>
  <c r="L44" i="68" s="1"/>
  <c r="M45" i="68"/>
  <c r="J38" i="68"/>
  <c r="L38" i="68" s="1"/>
  <c r="K28" i="65"/>
  <c r="K27" i="65" s="1"/>
  <c r="H78" i="58"/>
  <c r="H80" i="58" s="1"/>
  <c r="H81" i="58" s="1"/>
  <c r="D34" i="65"/>
  <c r="K128" i="65"/>
  <c r="K11" i="65"/>
  <c r="F17" i="65"/>
  <c r="K71" i="65"/>
  <c r="K64" i="65"/>
  <c r="K19" i="65"/>
  <c r="K17" i="65" s="1"/>
  <c r="D37" i="65"/>
  <c r="K38" i="65"/>
  <c r="K75" i="65"/>
  <c r="K25" i="65"/>
  <c r="K24" i="65" s="1"/>
  <c r="K46" i="65"/>
  <c r="I91" i="69"/>
  <c r="P12" i="69"/>
  <c r="K43" i="69"/>
  <c r="I70" i="69"/>
  <c r="F94" i="69"/>
  <c r="K68" i="65"/>
  <c r="E44" i="16"/>
  <c r="J66" i="16"/>
  <c r="J65" i="16" s="1"/>
  <c r="D20" i="16"/>
  <c r="D44" i="16"/>
  <c r="I44" i="16"/>
  <c r="J41" i="16"/>
  <c r="J40" i="16" s="1"/>
  <c r="C9" i="57" s="1"/>
  <c r="G69" i="69"/>
  <c r="K49" i="69"/>
  <c r="H65" i="69"/>
  <c r="J65" i="69" s="1"/>
  <c r="I76" i="69"/>
  <c r="I78" i="69"/>
  <c r="K76" i="69"/>
  <c r="P24" i="69"/>
  <c r="I64" i="69"/>
  <c r="G49" i="69"/>
  <c r="K69" i="69"/>
  <c r="J30" i="69"/>
  <c r="G46" i="69"/>
  <c r="H11" i="69"/>
  <c r="G65" i="69"/>
  <c r="K36" i="69"/>
  <c r="H36" i="69"/>
  <c r="H62" i="69"/>
  <c r="H72" i="69"/>
  <c r="H89" i="69"/>
  <c r="J89" i="69" s="1"/>
  <c r="I61" i="69"/>
  <c r="K58" i="69"/>
  <c r="G80" i="69"/>
  <c r="I11" i="69"/>
  <c r="I13" i="69"/>
  <c r="K65" i="69"/>
  <c r="H46" i="69"/>
  <c r="H58" i="69"/>
  <c r="K11" i="69"/>
  <c r="K13" i="69" s="1"/>
  <c r="K27" i="69" s="1"/>
  <c r="G77" i="69"/>
  <c r="G75" i="69"/>
  <c r="K77" i="69"/>
  <c r="I58" i="69"/>
  <c r="I77" i="69"/>
  <c r="K92" i="69"/>
  <c r="G89" i="69"/>
  <c r="K89" i="69" s="1"/>
  <c r="H88" i="69"/>
  <c r="I88" i="69"/>
  <c r="G85" i="69"/>
  <c r="K85" i="69" s="1"/>
  <c r="H86" i="69"/>
  <c r="I86" i="69"/>
  <c r="H80" i="69"/>
  <c r="I80" i="69"/>
  <c r="J80" i="69" s="1"/>
  <c r="K78" i="69"/>
  <c r="K71" i="69"/>
  <c r="I71" i="69"/>
  <c r="H71" i="69"/>
  <c r="H66" i="69"/>
  <c r="I62" i="69"/>
  <c r="J62" i="69" s="1"/>
  <c r="K62" i="69"/>
  <c r="G57" i="69"/>
  <c r="H49" i="69"/>
  <c r="J49" i="69" s="1"/>
  <c r="H43" i="69"/>
  <c r="J43" i="69" s="1"/>
  <c r="G43" i="69"/>
  <c r="H42" i="69"/>
  <c r="J42" i="69" s="1"/>
  <c r="J58" i="69"/>
  <c r="J19" i="27" l="1"/>
  <c r="H86" i="12" s="1"/>
  <c r="I95" i="68"/>
  <c r="J51" i="68"/>
  <c r="L51" i="68" s="1"/>
  <c r="H74" i="69"/>
  <c r="O65" i="68"/>
  <c r="K74" i="68"/>
  <c r="M74" i="68" s="1"/>
  <c r="H83" i="68"/>
  <c r="I51" i="68"/>
  <c r="I87" i="69"/>
  <c r="P16" i="69"/>
  <c r="J27" i="68"/>
  <c r="O7" i="68"/>
  <c r="J57" i="16"/>
  <c r="C11" i="57" s="1"/>
  <c r="J60" i="16"/>
  <c r="I40" i="65"/>
  <c r="H124" i="65"/>
  <c r="E99" i="68"/>
  <c r="M27" i="68"/>
  <c r="O26" i="68"/>
  <c r="O42" i="68"/>
  <c r="O61" i="68"/>
  <c r="E95" i="68"/>
  <c r="K70" i="68"/>
  <c r="M70" i="68" s="1"/>
  <c r="O70" i="68" s="1"/>
  <c r="O13" i="69"/>
  <c r="D94" i="69"/>
  <c r="D95" i="69" s="1"/>
  <c r="P17" i="69"/>
  <c r="P18" i="69"/>
  <c r="P19" i="69"/>
  <c r="O37" i="69"/>
  <c r="P33" i="69"/>
  <c r="P52" i="69"/>
  <c r="P82" i="69"/>
  <c r="K154" i="65"/>
  <c r="K153" i="65" s="1"/>
  <c r="C27" i="57" s="1"/>
  <c r="J74" i="68"/>
  <c r="L74" i="68" s="1"/>
  <c r="J89" i="68"/>
  <c r="L89" i="68" s="1"/>
  <c r="O89" i="68" s="1"/>
  <c r="G67" i="69"/>
  <c r="K51" i="69"/>
  <c r="H81" i="69"/>
  <c r="G51" i="69"/>
  <c r="H70" i="69"/>
  <c r="K74" i="69"/>
  <c r="E13" i="69"/>
  <c r="I19" i="27"/>
  <c r="O80" i="68"/>
  <c r="I66" i="68"/>
  <c r="J66" i="68" s="1"/>
  <c r="L66" i="68" s="1"/>
  <c r="O66" i="68" s="1"/>
  <c r="I83" i="68"/>
  <c r="K67" i="69"/>
  <c r="K51" i="68"/>
  <c r="H67" i="69"/>
  <c r="E20" i="16"/>
  <c r="K134" i="65"/>
  <c r="H9" i="65"/>
  <c r="I124" i="65"/>
  <c r="J124" i="65"/>
  <c r="O12" i="68"/>
  <c r="O34" i="68"/>
  <c r="H60" i="68"/>
  <c r="J60" i="68" s="1"/>
  <c r="L60" i="68" s="1"/>
  <c r="O60" i="68" s="1"/>
  <c r="I68" i="68"/>
  <c r="J68" i="68" s="1"/>
  <c r="L68" i="68" s="1"/>
  <c r="O68" i="68" s="1"/>
  <c r="P7" i="69"/>
  <c r="P56" i="69"/>
  <c r="P62" i="69"/>
  <c r="E124" i="65"/>
  <c r="C13" i="57"/>
  <c r="F77" i="16"/>
  <c r="J71" i="69"/>
  <c r="P71" i="69" s="1"/>
  <c r="E93" i="69"/>
  <c r="I74" i="69"/>
  <c r="J74" i="69" s="1"/>
  <c r="I41" i="69"/>
  <c r="J41" i="69" s="1"/>
  <c r="K64" i="69"/>
  <c r="G70" i="69"/>
  <c r="H78" i="69"/>
  <c r="J78" i="69" s="1"/>
  <c r="P78" i="69" s="1"/>
  <c r="E37" i="69"/>
  <c r="I51" i="69"/>
  <c r="J51" i="69" s="1"/>
  <c r="I90" i="69"/>
  <c r="K81" i="69"/>
  <c r="H64" i="69"/>
  <c r="O44" i="68"/>
  <c r="K11" i="68"/>
  <c r="J71" i="68"/>
  <c r="L71" i="68" s="1"/>
  <c r="O71" i="68" s="1"/>
  <c r="J87" i="68"/>
  <c r="J91" i="68"/>
  <c r="L91" i="68" s="1"/>
  <c r="O91" i="68" s="1"/>
  <c r="H90" i="69"/>
  <c r="E85" i="68"/>
  <c r="I9" i="65"/>
  <c r="I114" i="65"/>
  <c r="K18" i="67"/>
  <c r="N39" i="68"/>
  <c r="O35" i="68"/>
  <c r="I11" i="68"/>
  <c r="I13" i="68" s="1"/>
  <c r="D28" i="68"/>
  <c r="H39" i="68"/>
  <c r="H92" i="68"/>
  <c r="J92" i="68" s="1"/>
  <c r="L92" i="68" s="1"/>
  <c r="O92" i="68" s="1"/>
  <c r="K43" i="68"/>
  <c r="M43" i="68" s="1"/>
  <c r="P44" i="69"/>
  <c r="P53" i="69"/>
  <c r="I81" i="69"/>
  <c r="G93" i="69"/>
  <c r="K86" i="69"/>
  <c r="P48" i="69"/>
  <c r="P54" i="69"/>
  <c r="I37" i="69"/>
  <c r="J36" i="69"/>
  <c r="K37" i="69"/>
  <c r="P75" i="69"/>
  <c r="J26" i="69"/>
  <c r="P43" i="69"/>
  <c r="J88" i="69"/>
  <c r="C27" i="69"/>
  <c r="E27" i="69"/>
  <c r="H37" i="69"/>
  <c r="J91" i="69"/>
  <c r="P91" i="69" s="1"/>
  <c r="G36" i="69"/>
  <c r="I46" i="69"/>
  <c r="J46" i="69" s="1"/>
  <c r="P46" i="69" s="1"/>
  <c r="P49" i="69"/>
  <c r="G41" i="69"/>
  <c r="H57" i="69"/>
  <c r="J57" i="69" s="1"/>
  <c r="H92" i="69"/>
  <c r="I66" i="69"/>
  <c r="J66" i="69" s="1"/>
  <c r="J64" i="69"/>
  <c r="P64" i="69" s="1"/>
  <c r="G66" i="69"/>
  <c r="H87" i="69"/>
  <c r="J87" i="69" s="1"/>
  <c r="P87" i="69" s="1"/>
  <c r="K57" i="69"/>
  <c r="P31" i="69"/>
  <c r="P34" i="69"/>
  <c r="P35" i="69"/>
  <c r="P40" i="69"/>
  <c r="O83" i="69"/>
  <c r="P45" i="69"/>
  <c r="P59" i="69"/>
  <c r="I92" i="69"/>
  <c r="P39" i="69"/>
  <c r="P47" i="69"/>
  <c r="P50" i="69"/>
  <c r="P55" i="69"/>
  <c r="J67" i="69"/>
  <c r="P67" i="69" s="1"/>
  <c r="J77" i="69"/>
  <c r="P77" i="69" s="1"/>
  <c r="J86" i="69"/>
  <c r="P86" i="69" s="1"/>
  <c r="I93" i="69"/>
  <c r="E9" i="65"/>
  <c r="I77" i="16"/>
  <c r="C44" i="16"/>
  <c r="H20" i="16"/>
  <c r="H157" i="65"/>
  <c r="D77" i="16"/>
  <c r="E154" i="65"/>
  <c r="E153" i="65" s="1"/>
  <c r="F9" i="65"/>
  <c r="F124" i="65"/>
  <c r="K106" i="65"/>
  <c r="K105" i="65" s="1"/>
  <c r="C22" i="57" s="1"/>
  <c r="K139" i="65"/>
  <c r="D40" i="65"/>
  <c r="K30" i="65"/>
  <c r="D9" i="65"/>
  <c r="K92" i="65"/>
  <c r="K70" i="65"/>
  <c r="K41" i="65"/>
  <c r="E40" i="65"/>
  <c r="K10" i="65"/>
  <c r="C69" i="16"/>
  <c r="J69" i="16" s="1"/>
  <c r="J54" i="16"/>
  <c r="J47" i="16"/>
  <c r="J36" i="16"/>
  <c r="J21" i="16"/>
  <c r="J10" i="16"/>
  <c r="J9" i="16" s="1"/>
  <c r="J11" i="69"/>
  <c r="H13" i="69"/>
  <c r="I72" i="68"/>
  <c r="H72" i="68"/>
  <c r="J72" i="68" s="1"/>
  <c r="L72" i="68" s="1"/>
  <c r="K72" i="68"/>
  <c r="M72" i="68" s="1"/>
  <c r="P42" i="69"/>
  <c r="P58" i="69"/>
  <c r="J85" i="69"/>
  <c r="K37" i="65"/>
  <c r="O59" i="68"/>
  <c r="I157" i="65"/>
  <c r="I39" i="68"/>
  <c r="J32" i="68"/>
  <c r="O26" i="69"/>
  <c r="P21" i="69"/>
  <c r="K63" i="69"/>
  <c r="H63" i="69"/>
  <c r="I63" i="69"/>
  <c r="E83" i="69"/>
  <c r="P73" i="69"/>
  <c r="P88" i="69"/>
  <c r="E94" i="69"/>
  <c r="P80" i="69"/>
  <c r="P66" i="69"/>
  <c r="P65" i="69"/>
  <c r="G63" i="69"/>
  <c r="G83" i="69" s="1"/>
  <c r="K39" i="68"/>
  <c r="M38" i="68"/>
  <c r="E77" i="16"/>
  <c r="K86" i="65"/>
  <c r="O51" i="68"/>
  <c r="P23" i="69"/>
  <c r="G13" i="69"/>
  <c r="P9" i="69"/>
  <c r="G37" i="69"/>
  <c r="P28" i="69"/>
  <c r="P36" i="69"/>
  <c r="K93" i="69"/>
  <c r="P89" i="69"/>
  <c r="J70" i="69"/>
  <c r="P70" i="69" s="1"/>
  <c r="I27" i="69"/>
  <c r="P74" i="69"/>
  <c r="J37" i="69"/>
  <c r="M39" i="68"/>
  <c r="O74" i="68"/>
  <c r="K118" i="65"/>
  <c r="K114" i="65" s="1"/>
  <c r="C23" i="57" s="1"/>
  <c r="O38" i="68"/>
  <c r="P68" i="69"/>
  <c r="J77" i="68"/>
  <c r="L77" i="68" s="1"/>
  <c r="K63" i="65"/>
  <c r="N27" i="68"/>
  <c r="N99" i="68" s="1"/>
  <c r="O21" i="68"/>
  <c r="O27" i="68" s="1"/>
  <c r="J9" i="65"/>
  <c r="I28" i="68"/>
  <c r="J78" i="68"/>
  <c r="L78" i="68" s="1"/>
  <c r="O78" i="68" s="1"/>
  <c r="M51" i="68"/>
  <c r="J76" i="68"/>
  <c r="L76" i="68" s="1"/>
  <c r="O76" i="68" s="1"/>
  <c r="J63" i="68"/>
  <c r="L63" i="68" s="1"/>
  <c r="O63" i="68" s="1"/>
  <c r="J94" i="68"/>
  <c r="L94" i="68" s="1"/>
  <c r="O94" i="68" s="1"/>
  <c r="J88" i="68"/>
  <c r="L88" i="68" s="1"/>
  <c r="O88" i="68" s="1"/>
  <c r="H95" i="68"/>
  <c r="L87" i="68"/>
  <c r="J67" i="68"/>
  <c r="L67" i="68" s="1"/>
  <c r="O67" i="68" s="1"/>
  <c r="O8" i="68"/>
  <c r="M9" i="12"/>
  <c r="K125" i="65"/>
  <c r="F114" i="65"/>
  <c r="J114" i="65"/>
  <c r="F40" i="65"/>
  <c r="H69" i="68"/>
  <c r="J69" i="68" s="1"/>
  <c r="L69" i="68" s="1"/>
  <c r="O69" i="68" s="1"/>
  <c r="G39" i="68"/>
  <c r="J105" i="65"/>
  <c r="F99" i="68"/>
  <c r="F28" i="68"/>
  <c r="O37" i="68"/>
  <c r="O41" i="68"/>
  <c r="J53" i="68"/>
  <c r="L53" i="68" s="1"/>
  <c r="O53" i="68" s="1"/>
  <c r="L27" i="68"/>
  <c r="G85" i="68"/>
  <c r="O55" i="68"/>
  <c r="O56" i="68"/>
  <c r="O58" i="68"/>
  <c r="O84" i="68"/>
  <c r="I72" i="69"/>
  <c r="J72" i="69" s="1"/>
  <c r="K72" i="69"/>
  <c r="G76" i="69"/>
  <c r="H76" i="69"/>
  <c r="J76" i="69" s="1"/>
  <c r="F105" i="65"/>
  <c r="I43" i="68"/>
  <c r="I73" i="68"/>
  <c r="J73" i="68" s="1"/>
  <c r="L73" i="68" s="1"/>
  <c r="O73" i="68" s="1"/>
  <c r="K77" i="68"/>
  <c r="M77" i="68" s="1"/>
  <c r="I64" i="68"/>
  <c r="J64" i="68" s="1"/>
  <c r="L64" i="68" s="1"/>
  <c r="O64" i="68" s="1"/>
  <c r="H82" i="68"/>
  <c r="I82" i="68"/>
  <c r="J81" i="69" l="1"/>
  <c r="P81" i="69" s="1"/>
  <c r="J83" i="68"/>
  <c r="L83" i="68" s="1"/>
  <c r="O83" i="68" s="1"/>
  <c r="J92" i="69"/>
  <c r="P92" i="69" s="1"/>
  <c r="K13" i="68"/>
  <c r="K28" i="68" s="1"/>
  <c r="M11" i="68"/>
  <c r="M13" i="68" s="1"/>
  <c r="M28" i="68" s="1"/>
  <c r="J90" i="69"/>
  <c r="P90" i="69" s="1"/>
  <c r="P51" i="69"/>
  <c r="N28" i="68"/>
  <c r="K85" i="68"/>
  <c r="O77" i="68"/>
  <c r="J11" i="68"/>
  <c r="P41" i="69"/>
  <c r="P72" i="69"/>
  <c r="P76" i="69"/>
  <c r="H93" i="69"/>
  <c r="P57" i="69"/>
  <c r="C77" i="16"/>
  <c r="E157" i="65"/>
  <c r="K124" i="65"/>
  <c r="C24" i="57" s="1"/>
  <c r="F157" i="65"/>
  <c r="D157" i="65"/>
  <c r="K40" i="65"/>
  <c r="C21" i="57" s="1"/>
  <c r="J44" i="16"/>
  <c r="C10" i="57" s="1"/>
  <c r="J20" i="16"/>
  <c r="C8" i="57" s="1"/>
  <c r="P30" i="69"/>
  <c r="P37" i="69" s="1"/>
  <c r="J93" i="69"/>
  <c r="H27" i="69"/>
  <c r="G99" i="68"/>
  <c r="M85" i="68"/>
  <c r="M99" i="68" s="1"/>
  <c r="I83" i="69"/>
  <c r="I94" i="69" s="1"/>
  <c r="O72" i="68"/>
  <c r="J13" i="69"/>
  <c r="L95" i="68"/>
  <c r="O87" i="68"/>
  <c r="O95" i="68" s="1"/>
  <c r="K99" i="68"/>
  <c r="J157" i="65"/>
  <c r="K9" i="65"/>
  <c r="J63" i="69"/>
  <c r="P26" i="69"/>
  <c r="H85" i="68"/>
  <c r="H99" i="68" s="1"/>
  <c r="L32" i="68"/>
  <c r="J39" i="68"/>
  <c r="J82" i="68"/>
  <c r="L82" i="68" s="1"/>
  <c r="O82" i="68" s="1"/>
  <c r="I85" i="68"/>
  <c r="I99" i="68" s="1"/>
  <c r="J43" i="68"/>
  <c r="J95" i="68"/>
  <c r="H83" i="69"/>
  <c r="H94" i="69" s="1"/>
  <c r="G27" i="69"/>
  <c r="G94" i="69"/>
  <c r="O27" i="69"/>
  <c r="O94" i="69"/>
  <c r="K83" i="69"/>
  <c r="K94" i="69" s="1"/>
  <c r="L11" i="68" l="1"/>
  <c r="J13" i="68"/>
  <c r="J28" i="68" s="1"/>
  <c r="J77" i="16"/>
  <c r="C15" i="57"/>
  <c r="C16" i="57" s="1"/>
  <c r="L39" i="68"/>
  <c r="O32" i="68"/>
  <c r="O39" i="68" s="1"/>
  <c r="C20" i="57"/>
  <c r="C28" i="57" s="1"/>
  <c r="K157" i="65"/>
  <c r="J27" i="69"/>
  <c r="L43" i="68"/>
  <c r="J85" i="68"/>
  <c r="J83" i="69"/>
  <c r="J94" i="69" s="1"/>
  <c r="P11" i="69"/>
  <c r="P13" i="69" s="1"/>
  <c r="P85" i="69"/>
  <c r="P93" i="69" s="1"/>
  <c r="J99" i="68"/>
  <c r="O11" i="68" l="1"/>
  <c r="O13" i="68" s="1"/>
  <c r="O28" i="68" s="1"/>
  <c r="L13" i="68"/>
  <c r="L28" i="68" s="1"/>
  <c r="O43" i="68"/>
  <c r="O85" i="68" s="1"/>
  <c r="O99" i="68" s="1"/>
  <c r="L85" i="68"/>
  <c r="L99" i="68" s="1"/>
  <c r="P27" i="69"/>
  <c r="P63" i="69"/>
  <c r="P83" i="69" s="1"/>
  <c r="P94" i="6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roberto.navas</author>
  </authors>
  <commentList>
    <comment ref="E6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fondos pendientes de recibir del PFGL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roberto.navas</author>
    <author>dell</author>
  </authors>
  <commentList>
    <comment ref="F9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fondos pendientes de recibir del PFGL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29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revisar este especifico
</t>
        </r>
      </text>
    </comment>
  </commentList>
</comments>
</file>

<file path=xl/sharedStrings.xml><?xml version="1.0" encoding="utf-8"?>
<sst xmlns="http://schemas.openxmlformats.org/spreadsheetml/2006/main" count="3712" uniqueCount="907">
  <si>
    <t>ESTRUCTURA PRESUPUESTARIA</t>
  </si>
  <si>
    <t>3. HISTORIAL DE SALDOS BANCARIOS</t>
  </si>
  <si>
    <t>1. ESTRUCTURA PRESUPUESTARIA APROBADA</t>
  </si>
  <si>
    <t>1. BASE DE GENERACION DE AVISOS DE CONTRIBUYENTES</t>
  </si>
  <si>
    <t>2. HISTORIAL DE RECUPERACION DE MOROSIDAD</t>
  </si>
  <si>
    <t>4. TRANSFERENCIAS GOES</t>
  </si>
  <si>
    <t>5. INFORME DE CREDITOS SOLICITADOS</t>
  </si>
  <si>
    <t>6. DONACIONES</t>
  </si>
  <si>
    <t>2. NOMINA DE SALARIOS</t>
  </si>
  <si>
    <t>3. PLAN DE COMPRAS (BIENES Y SERVICIOS)</t>
  </si>
  <si>
    <t>(En Dolares de los Estados Unidos de America)</t>
  </si>
  <si>
    <t>(En Dolares de los Estados Unidos de América)</t>
  </si>
  <si>
    <t>INSUMOS BASICOS:</t>
  </si>
  <si>
    <t>PRESUPUESTO MUNICIPAL DE FUNCIONAMIENTO POR ESTRUCTURA PRESUPUESTARIA</t>
  </si>
  <si>
    <t>DETALLE CONSOLIDADO DE INGRESOS POR ESPECIFICO Y FUENTE DE FINANCIAMIENTO</t>
  </si>
  <si>
    <t>11801</t>
  </si>
  <si>
    <t>De Comercio</t>
  </si>
  <si>
    <t>11802</t>
  </si>
  <si>
    <t>De Industria</t>
  </si>
  <si>
    <t>11804</t>
  </si>
  <si>
    <t>De Servicios</t>
  </si>
  <si>
    <t>12109</t>
  </si>
  <si>
    <t>Aseo Público</t>
  </si>
  <si>
    <t>Alumbrado Público</t>
  </si>
  <si>
    <t>12211</t>
  </si>
  <si>
    <t>Cotejo de Fierros</t>
  </si>
  <si>
    <t>14299</t>
  </si>
  <si>
    <t>Servicios Diversos</t>
  </si>
  <si>
    <t>15301</t>
  </si>
  <si>
    <t>Multa por Mora de Impuestos</t>
  </si>
  <si>
    <t>Intereses por Mora de Impuestos</t>
  </si>
  <si>
    <t>15302</t>
  </si>
  <si>
    <t>16201</t>
  </si>
  <si>
    <t>22201</t>
  </si>
  <si>
    <t>51101</t>
  </si>
  <si>
    <t>Sueldos</t>
  </si>
  <si>
    <t>Aguinaldos</t>
  </si>
  <si>
    <t>Por Remuneraciones Permanentes</t>
  </si>
  <si>
    <t>Productos Alimenticios para Personas</t>
  </si>
  <si>
    <t>Productos de papel y Carton</t>
  </si>
  <si>
    <t>Combustibles y Lubricantes</t>
  </si>
  <si>
    <t>Materiales de Oficina</t>
  </si>
  <si>
    <t>Servicios de Energia Electrica</t>
  </si>
  <si>
    <t>Servicios de Agua</t>
  </si>
  <si>
    <t>Servicios de Telecomunicaciones</t>
  </si>
  <si>
    <t>Mant. Y Repar. De Bs. Muebles</t>
  </si>
  <si>
    <t>Miner. Metalicos y Prod. Der.</t>
  </si>
  <si>
    <t>Miner. No Metalicos y Prod. Der.</t>
  </si>
  <si>
    <t>Mant. Y Repar. De Vehiculos</t>
  </si>
  <si>
    <t>01</t>
  </si>
  <si>
    <t>2</t>
  </si>
  <si>
    <t>1</t>
  </si>
  <si>
    <t>110</t>
  </si>
  <si>
    <t>03</t>
  </si>
  <si>
    <t>111</t>
  </si>
  <si>
    <t>FUENTE O SUBFUENTE DE FINANCIAMIENTO: Recursos Propios</t>
  </si>
  <si>
    <t>FUENTE O SUBFUENTE DE FINANCIAMIENTO: FODES 25%</t>
  </si>
  <si>
    <t>000</t>
  </si>
  <si>
    <t>Vialidades</t>
  </si>
  <si>
    <t>12111</t>
  </si>
  <si>
    <t>Cementerios Municipales</t>
  </si>
  <si>
    <t>12114</t>
  </si>
  <si>
    <t>12117</t>
  </si>
  <si>
    <t>Pavimentacion</t>
  </si>
  <si>
    <t>12118</t>
  </si>
  <si>
    <t>Postes, Torres y Antenas</t>
  </si>
  <si>
    <t>12119</t>
  </si>
  <si>
    <t>Rastro y Tiangue</t>
  </si>
  <si>
    <t>15703</t>
  </si>
  <si>
    <t>15799</t>
  </si>
  <si>
    <t>Ingresos Diversos</t>
  </si>
  <si>
    <t>Dietas</t>
  </si>
  <si>
    <t>Transportes, Fletes y mantenimientos</t>
  </si>
  <si>
    <t>Servicios de Publicidad</t>
  </si>
  <si>
    <t>Impresiones, publicaciones y reproducciones</t>
  </si>
  <si>
    <t>Servicios Juridicos</t>
  </si>
  <si>
    <t>Materiales Informaticos</t>
  </si>
  <si>
    <t>Atenciones oficiales</t>
  </si>
  <si>
    <t>Especies Municipales Diversas</t>
  </si>
  <si>
    <t>Atenciones Oficiales</t>
  </si>
  <si>
    <t>Servicios de Contabilidad y Auditoria</t>
  </si>
  <si>
    <t>Derechos</t>
  </si>
  <si>
    <t>Comisiones y Gastos bancarios</t>
  </si>
  <si>
    <t>Multas y costas judiciales</t>
  </si>
  <si>
    <t>Transferencias corrientes al sector publico</t>
  </si>
  <si>
    <t>Transportes Fletes y almacenamientos</t>
  </si>
  <si>
    <t>32102</t>
  </si>
  <si>
    <t>0301</t>
  </si>
  <si>
    <t>0101</t>
  </si>
  <si>
    <t>Materiales Electricos</t>
  </si>
  <si>
    <t>11899</t>
  </si>
  <si>
    <t>15314</t>
  </si>
  <si>
    <t>Otras multas municipales</t>
  </si>
  <si>
    <t>Primas y gastos de seguro de personas</t>
  </si>
  <si>
    <t>06</t>
  </si>
  <si>
    <t>0302</t>
  </si>
  <si>
    <t>CONCEPTO</t>
  </si>
  <si>
    <t>12210</t>
  </si>
  <si>
    <t>Bienes de consumo diverso</t>
  </si>
  <si>
    <t xml:space="preserve"> Objeto Específico</t>
  </si>
  <si>
    <t>DENOMINACION</t>
  </si>
  <si>
    <t>Fondos Propios</t>
  </si>
  <si>
    <t xml:space="preserve"> T O T A L  </t>
  </si>
  <si>
    <t>11808</t>
  </si>
  <si>
    <t>Centros de Enseñanza</t>
  </si>
  <si>
    <t>11810</t>
  </si>
  <si>
    <t>11817</t>
  </si>
  <si>
    <t>Hoteles, Moteles y Similares</t>
  </si>
  <si>
    <t>Vallas Publicitarias</t>
  </si>
  <si>
    <t>Impuestos Municipales Diversos</t>
  </si>
  <si>
    <t>12112</t>
  </si>
  <si>
    <t>Desechos</t>
  </si>
  <si>
    <t>12115</t>
  </si>
  <si>
    <t>Mercados</t>
  </si>
  <si>
    <t>Permisos y Licencias Municipales</t>
  </si>
  <si>
    <t>12122</t>
  </si>
  <si>
    <t>Terminal de Buses</t>
  </si>
  <si>
    <t>12299</t>
  </si>
  <si>
    <t>Derechos Diversos</t>
  </si>
  <si>
    <t>14201</t>
  </si>
  <si>
    <t>Servicios Básicos</t>
  </si>
  <si>
    <t>De Empresas Públicas Financieras</t>
  </si>
  <si>
    <t>Linea de Trabajo</t>
  </si>
  <si>
    <t>AREA DE GESTIÓN</t>
  </si>
  <si>
    <t>INVERSION E INFRAESTRUCTURA MUNICIPAL</t>
  </si>
  <si>
    <t>1 - CONDUCCION ADMINISTRATIVA</t>
  </si>
  <si>
    <t>3 - DESARROLLO SOCIAL</t>
  </si>
  <si>
    <t>RUBRO DE AGRUPACION</t>
  </si>
  <si>
    <t>MONTO PRESUPUESTADO</t>
  </si>
  <si>
    <t>IMPUESTOS</t>
  </si>
  <si>
    <t>TASAS Y DERECHOS</t>
  </si>
  <si>
    <t>VENTA DE BIENES Y SERVICIOS</t>
  </si>
  <si>
    <t>INGRESOS FINANCIEROS Y OTROS</t>
  </si>
  <si>
    <t>TRANSFERENCIAS DE CAPITAL</t>
  </si>
  <si>
    <t>TRANSFERENCIAS CORRIENTES</t>
  </si>
  <si>
    <t>PRESUPUESTO DE INGRESOS</t>
  </si>
  <si>
    <t>TOTAL INGRESOS</t>
  </si>
  <si>
    <t>TOTAL EGRESOS</t>
  </si>
  <si>
    <t>PRESUPUESTO DE EGRESOS</t>
  </si>
  <si>
    <t>REMUNERACIONES</t>
  </si>
  <si>
    <t>ADQUISICION DE BIENES Y SERVICIOS</t>
  </si>
  <si>
    <t>GASTOS FINANCIEROS Y OTROS</t>
  </si>
  <si>
    <t>INVESIONES EN ACTIVOS FIJOS</t>
  </si>
  <si>
    <t>31304</t>
  </si>
  <si>
    <t xml:space="preserve"> Area de Gestión</t>
  </si>
  <si>
    <t xml:space="preserve"> Unidd Presupuestaria</t>
  </si>
  <si>
    <t xml:space="preserve"> Fuente de Financiamiento</t>
  </si>
  <si>
    <t xml:space="preserve"> Subfuente de Financiamiento</t>
  </si>
  <si>
    <t>Objeto Específico</t>
  </si>
  <si>
    <t>FUENTE O SUBFUENTE DE FINANCIAMIENTO: FODES 75%</t>
  </si>
  <si>
    <t>Fuente de Financiamiento</t>
  </si>
  <si>
    <t xml:space="preserve"> DENOMINACIÓN</t>
  </si>
  <si>
    <t xml:space="preserve"> MONTO</t>
  </si>
  <si>
    <t>Subfuente de Financiamiento</t>
  </si>
  <si>
    <t>Unidd Presupuestaria</t>
  </si>
  <si>
    <t>Salarios por Jornal</t>
  </si>
  <si>
    <t>Productos Textiles y Vestuarios</t>
  </si>
  <si>
    <t>Productos de cuero y Caucho</t>
  </si>
  <si>
    <t>Productos Quimicos</t>
  </si>
  <si>
    <t>Llantas y Neumaticos</t>
  </si>
  <si>
    <t>Minerales no Metalicos y Prod. Derivados</t>
  </si>
  <si>
    <t>Minerales Metalicos y Prod. Derivados</t>
  </si>
  <si>
    <t>Herramientas, Rep. y Accesorios</t>
  </si>
  <si>
    <t>Bienes de Uso y Consumo Diversos</t>
  </si>
  <si>
    <t>Mant.  Reparaciones de Bienes Muebles</t>
  </si>
  <si>
    <t>Mant. Reparaciones de Vehiculos</t>
  </si>
  <si>
    <t>Mant. Reparaciones de Bienes Inmuebles</t>
  </si>
  <si>
    <t>Servicios de Alimentación</t>
  </si>
  <si>
    <t>Comisiones y Gastos Bancarios</t>
  </si>
  <si>
    <t>Multas y Costas Procesales</t>
  </si>
  <si>
    <t>Bienes Muebles Diversos</t>
  </si>
  <si>
    <t>Mobiliarios</t>
  </si>
  <si>
    <t>Remuneraciones Diversas</t>
  </si>
  <si>
    <t>51202</t>
  </si>
  <si>
    <t>FPRESUPUESTO MUNICIPAL DE EGRESOS</t>
  </si>
  <si>
    <t>PRESUPUESTO MUNICIPAL DE EGRESOS</t>
  </si>
  <si>
    <t>PRESUPUESTO MUNICIPAL DE INVERSION POR ESTRUCTURA PRESUPUESTARIA</t>
  </si>
  <si>
    <t>Productos Agropecuarios y Forestales</t>
  </si>
  <si>
    <t>Productos de Cuero y Caucho</t>
  </si>
  <si>
    <t>Servicios de públicidad</t>
  </si>
  <si>
    <t>Impresiones, Publicaciones y Reproducc.</t>
  </si>
  <si>
    <t>Arrendamiento de Bienes Muebles</t>
  </si>
  <si>
    <t>Servicios Generales y Arrendamientos Diversos</t>
  </si>
  <si>
    <t>Servicios de Capacitación</t>
  </si>
  <si>
    <t>Estudios e Investigaciones</t>
  </si>
  <si>
    <t>Consultorias, Estudios e Investigaciones</t>
  </si>
  <si>
    <t>Deposito de Desechos</t>
  </si>
  <si>
    <t>Moviliarios</t>
  </si>
  <si>
    <t>Maquinarias y Equipos</t>
  </si>
  <si>
    <t>Proy. Programas de Inversión Div.</t>
  </si>
  <si>
    <t>Viales</t>
  </si>
  <si>
    <t>De Producción de Bienes y Servicios</t>
  </si>
  <si>
    <t>Supervisión de Infraestructura</t>
  </si>
  <si>
    <t>Obras de Infraestrutura Diversas</t>
  </si>
  <si>
    <t>TOTAL GASTOS 0302</t>
  </si>
  <si>
    <t>FUENTE O SUBFUENTE DE FINANCIAMIENTO: FISDL/PFGL</t>
  </si>
  <si>
    <t>112</t>
  </si>
  <si>
    <t>total</t>
  </si>
  <si>
    <t>32101</t>
  </si>
  <si>
    <t>Saldo inicial en Caja</t>
  </si>
  <si>
    <t>Servicios de Energía elctrica</t>
  </si>
  <si>
    <t>32201</t>
  </si>
  <si>
    <t>31308</t>
  </si>
  <si>
    <t>De Empresas Privadas Financieras</t>
  </si>
  <si>
    <t>Saldo Inicial en Bancos</t>
  </si>
  <si>
    <t>Por Serv. Certific. Visado de Docum.</t>
  </si>
  <si>
    <t>Por Expedic. Documentos de Identif.</t>
  </si>
  <si>
    <t>Viaticos por comisión Interna</t>
  </si>
  <si>
    <t>A Personas Naturales</t>
  </si>
  <si>
    <t>Herramientas, Repuestos y Acces.</t>
  </si>
  <si>
    <t>Mtto. Reparación de Bienes</t>
  </si>
  <si>
    <t>Mtto. Reparación de Vehiculos</t>
  </si>
  <si>
    <t>Mtto. Reparación de Bienes Muebles</t>
  </si>
  <si>
    <t>Pasajes y Víaticos</t>
  </si>
  <si>
    <t>Bienes de Uso y Consumo Diverso</t>
  </si>
  <si>
    <t>Gastos Diversos</t>
  </si>
  <si>
    <t>PRESUPUESTO DE EGRESOS DE INVERSIÓN</t>
  </si>
  <si>
    <t>51901</t>
  </si>
  <si>
    <t>Honorarios</t>
  </si>
  <si>
    <t>02</t>
  </si>
  <si>
    <t>SERVICIOS MUNICIPALES</t>
  </si>
  <si>
    <t>0201</t>
  </si>
  <si>
    <t>Multa por Registro Civil</t>
  </si>
  <si>
    <t>Productos Farmaceuticos y Medicinales</t>
  </si>
  <si>
    <t>Libros, Textos, útiles de enseñanza y Public.</t>
  </si>
  <si>
    <t>Sevicios de Correos</t>
  </si>
  <si>
    <t>Servicios de Limpieza y Fumigaciones</t>
  </si>
  <si>
    <t>Pasajes al Interior</t>
  </si>
  <si>
    <t>Pasajes al Exterior</t>
  </si>
  <si>
    <t>Servicios de Contabilidad y auditoría</t>
  </si>
  <si>
    <t>Consultorias, estudios e Investigaciones Div.</t>
  </si>
  <si>
    <t>Primas y Gastos de Seguros de Bienes</t>
  </si>
  <si>
    <t xml:space="preserve"> TOTAL GASTOS FONDOS PROPIOS</t>
  </si>
  <si>
    <t xml:space="preserve"> TOTAL GASTOS FODES 25%</t>
  </si>
  <si>
    <t>Libros, textos, Utiles de Enseñanza y Publica.</t>
  </si>
  <si>
    <t>Servicios de Correos</t>
  </si>
  <si>
    <t>Impreciones, Publicaciones y Reproducc.</t>
  </si>
  <si>
    <t>Desarrollos Informáticos</t>
  </si>
  <si>
    <t>Consultorias, estudios e investigaciones div.</t>
  </si>
  <si>
    <t>Primas y Gastos de seguros de bienes</t>
  </si>
  <si>
    <t>A organismos sin fines de lucro</t>
  </si>
  <si>
    <t>Mobiliario</t>
  </si>
  <si>
    <t>Equipo Informático</t>
  </si>
  <si>
    <t>cuentas por Pagar de años anteriores</t>
  </si>
  <si>
    <t>Proyectos de Construcción</t>
  </si>
  <si>
    <t>Proyectos de Ampliación</t>
  </si>
  <si>
    <t>Programas de Inversión Social</t>
  </si>
  <si>
    <t>De Salud y Saneamiento Ambiental</t>
  </si>
  <si>
    <t>Educación y Recreación</t>
  </si>
  <si>
    <t>De vivienda y oficinas</t>
  </si>
  <si>
    <t>Electricas y Comunicaciones</t>
  </si>
  <si>
    <t>Nº</t>
  </si>
  <si>
    <t>APORTE PATRONAL</t>
  </si>
  <si>
    <t>TOTAL</t>
  </si>
  <si>
    <t>MENSUAL</t>
  </si>
  <si>
    <t>ANUAL</t>
  </si>
  <si>
    <t>LINEA DE TRABAJO</t>
  </si>
  <si>
    <t>CARGO O PUESTO</t>
  </si>
  <si>
    <t>Segundo Regidor Suplente</t>
  </si>
  <si>
    <t>Tercer Regidor Suplente</t>
  </si>
  <si>
    <t>ISSS 7,5%</t>
  </si>
  <si>
    <t>Impuestos</t>
  </si>
  <si>
    <t>Impuestos Municipales</t>
  </si>
  <si>
    <t>Tasas y Derechos</t>
  </si>
  <si>
    <t>Tasas</t>
  </si>
  <si>
    <t>Venta de Bienes y Servicios</t>
  </si>
  <si>
    <t>Venta de Bienes</t>
  </si>
  <si>
    <t>Ingresos Financieros y Otros</t>
  </si>
  <si>
    <t>Multas e intereses por Mora</t>
  </si>
  <si>
    <t>Otros Ingresos no Clasificados</t>
  </si>
  <si>
    <t>Transferencias Corrientes</t>
  </si>
  <si>
    <t>Transferencias de Capital</t>
  </si>
  <si>
    <t>Transf. De Capital al Sector Público</t>
  </si>
  <si>
    <t>Endeudamiento Público</t>
  </si>
  <si>
    <t>Saldos de Años Anteriores</t>
  </si>
  <si>
    <t>Saldos iniciales de Caja y bancos</t>
  </si>
  <si>
    <t>Rendimiento de Títulos Valores</t>
  </si>
  <si>
    <t>Otras Rentabiliddes Financieras</t>
  </si>
  <si>
    <t>Multas e Intereses Diversos</t>
  </si>
  <si>
    <t>Transf. Corrientes al Sect. Pubico</t>
  </si>
  <si>
    <t>DIETAS</t>
  </si>
  <si>
    <t>APORTACION PATRONAL</t>
  </si>
  <si>
    <t>INSAFOR</t>
  </si>
  <si>
    <t>Remuneraciones</t>
  </si>
  <si>
    <t>Remuneraciones Permanentes</t>
  </si>
  <si>
    <t>Remuneraciones Eventuales</t>
  </si>
  <si>
    <t>Adquisiciones de Bienes y Servicios</t>
  </si>
  <si>
    <t>Bienes de uso y Consumo</t>
  </si>
  <si>
    <t>Minerales  Metalicos y Prod. Deriv.</t>
  </si>
  <si>
    <t>Minerales no Metalicos y Prod. Deriv.</t>
  </si>
  <si>
    <t>Especies Municipales</t>
  </si>
  <si>
    <t>Bienes de Uso y Consumo Div.</t>
  </si>
  <si>
    <t>Servicios Basicos</t>
  </si>
  <si>
    <t>Alumbrado Publico</t>
  </si>
  <si>
    <t>Mtto. y Repa. De Bienes Muebles</t>
  </si>
  <si>
    <t>Mtto. y Repa. De Vehiculos</t>
  </si>
  <si>
    <t>Mtto. y Repa. De Bienes Inmuebles</t>
  </si>
  <si>
    <t>Transportes, Fletes y Almacenamiento</t>
  </si>
  <si>
    <t>Serv. De Limpieza y Fumigaciones</t>
  </si>
  <si>
    <t>Servicios Educativos</t>
  </si>
  <si>
    <t>Impresiones, Publicac. Y Reproducc.</t>
  </si>
  <si>
    <t>Arrendamiento de Bienes Inmuebles</t>
  </si>
  <si>
    <t>Ser. Grales. Y Arrend. Diversos</t>
  </si>
  <si>
    <t>Pasajes y Viaticos</t>
  </si>
  <si>
    <t>Viaticos por Comision interna</t>
  </si>
  <si>
    <t>Consultoria, Estudios e Investigaciones</t>
  </si>
  <si>
    <t>Serv. Del medio Ambiente y Rec. Nat.</t>
  </si>
  <si>
    <t>Servicios de Capacitacion</t>
  </si>
  <si>
    <t>Desarrollos Informaticos</t>
  </si>
  <si>
    <t>Tratamiento de Desechos</t>
  </si>
  <si>
    <t>Recolección de Desechos</t>
  </si>
  <si>
    <t>A Organismos sin fines de Lucro</t>
  </si>
  <si>
    <t>Inversiones e Activos Fijos</t>
  </si>
  <si>
    <t>Bienes Muebles</t>
  </si>
  <si>
    <t>Equipos Informaticos</t>
  </si>
  <si>
    <t>Estudios de Pre-Inversion</t>
  </si>
  <si>
    <t>Proyectos y Ampliaciones</t>
  </si>
  <si>
    <t>Programas de Inversion Social</t>
  </si>
  <si>
    <t>Proy. Y Prog. de Inversion Diversos</t>
  </si>
  <si>
    <t>Infraestructura</t>
  </si>
  <si>
    <t>De Produccion de Bienes y Servicios</t>
  </si>
  <si>
    <t>Supervision de Infraestructura</t>
  </si>
  <si>
    <t>Obras de infraestructura Diversas</t>
  </si>
  <si>
    <t>A Organismos sin Fines de Lucro</t>
  </si>
  <si>
    <t>De Educacion y Recreación</t>
  </si>
  <si>
    <t>Seguros, Com. y Gastos Bancarios</t>
  </si>
  <si>
    <t>Transferencias Ctes. al Sector Privado</t>
  </si>
  <si>
    <t>Transf. de Capital al Sect. Privado</t>
  </si>
  <si>
    <t>Transf. Corrientes al Sector Publico</t>
  </si>
  <si>
    <t>Contribuciones Patron.Inst. de Seg. Pub.</t>
  </si>
  <si>
    <t>Contribuciones Patron.Inst. de Seg. Priv.</t>
  </si>
  <si>
    <t>AGUINALDOS</t>
  </si>
  <si>
    <t>FODES 25%</t>
  </si>
  <si>
    <t>FODES 75%</t>
  </si>
  <si>
    <t xml:space="preserve">Fiestas </t>
  </si>
  <si>
    <t>Gastos de Representación</t>
  </si>
  <si>
    <t>Por prestación de Servicios en el Exterior</t>
  </si>
  <si>
    <t>Primas y Gastos de Seguros de Personas</t>
  </si>
  <si>
    <t>Otros Gastos no Clasificados</t>
  </si>
  <si>
    <t>Maquinaria y Equipo</t>
  </si>
  <si>
    <t>Serv. Generales y Arrend. Div.</t>
  </si>
  <si>
    <t>Gastos Financieros y Otros</t>
  </si>
  <si>
    <t>DETALLE CONSOLIDADO DE EGRESOS POR ESPECIFICO Y FUENTE DE FINANCIAMIENTO</t>
  </si>
  <si>
    <t>Por Prestación de Servicios en el Exterior</t>
  </si>
  <si>
    <t>Servicios Generales y Arrendamientos div</t>
  </si>
  <si>
    <t>Serv. Del Medio Ambiente y Rec. Naturales</t>
  </si>
  <si>
    <t>Equipos Informáticos</t>
  </si>
  <si>
    <t>Llantas y Neumáticos</t>
  </si>
  <si>
    <t>Mtto. y Rep. De Bienes Inmuebles</t>
  </si>
  <si>
    <t>Serv. De Medio Ambiente y Rec. Naturales</t>
  </si>
  <si>
    <t>Int. y Com. De Inst. Desc. No Empresariales</t>
  </si>
  <si>
    <t>Int. y Com. De Emp.Públicas Financieras</t>
  </si>
  <si>
    <t>05</t>
  </si>
  <si>
    <t>TOTAL GASTOS 0501</t>
  </si>
  <si>
    <t>DIRECCION SUPERIOR</t>
  </si>
  <si>
    <t>SERVICIOS MUNICIPALES DIVERSOS</t>
  </si>
  <si>
    <t>AMORTIZACION DE ENDEUDAMIENTO PUBLICO</t>
  </si>
  <si>
    <t>FUENTE O SUBFUENTE DE FINANCIAMIENTO:  PRESTAMOS INTERNOS</t>
  </si>
  <si>
    <t xml:space="preserve">Servicios de Capacitacion </t>
  </si>
  <si>
    <t>Jornales</t>
  </si>
  <si>
    <t>Servicios Generales y Arrenda. Div.</t>
  </si>
  <si>
    <t>Herramientas, Repuestos y Accesorios</t>
  </si>
  <si>
    <t>Servicios de Alimentacion</t>
  </si>
  <si>
    <t>Terrenos</t>
  </si>
  <si>
    <t>Productos de Papel y Carton</t>
  </si>
  <si>
    <t>productos de cuero y caucho</t>
  </si>
  <si>
    <t>Productos Farmaceuticos y medicinales</t>
  </si>
  <si>
    <t>Libros, textos y utiles de ensenanza</t>
  </si>
  <si>
    <t>A personas naturales</t>
  </si>
  <si>
    <t>0102</t>
  </si>
  <si>
    <t>PREINVERSION</t>
  </si>
  <si>
    <t xml:space="preserve">PROYECTOS Y PROGRAMAS DE DESARROLLO SOCIAL </t>
  </si>
  <si>
    <t>ALCALDIA MUNICIPAL DE SAN PEDRO PERULAPAN</t>
  </si>
  <si>
    <t>EJERCICIO 2020</t>
  </si>
  <si>
    <t>AÑO 2020</t>
  </si>
  <si>
    <t>PRESUPUESTO DE SALARIOS PARA EL EJERCICIO 2020</t>
  </si>
  <si>
    <t>FONDOS PROPIOS</t>
  </si>
  <si>
    <t>FONDOS FISDL</t>
  </si>
  <si>
    <t>AFP 7,25%</t>
  </si>
  <si>
    <t>ISSS 7,75%</t>
  </si>
  <si>
    <t>DEPARTAMENTO DE  CUSCATLAN</t>
  </si>
  <si>
    <t>DEPARTAMENTO DE CUSCATLAN</t>
  </si>
  <si>
    <t>Segundo Regidor Propietario</t>
  </si>
  <si>
    <t>Primer Regidor Propietario</t>
  </si>
  <si>
    <t>Tercer Regidor Propietario</t>
  </si>
  <si>
    <t>Cuarto Regidor Propietario</t>
  </si>
  <si>
    <t>Quinto Regidor Propietario</t>
  </si>
  <si>
    <t>Sexto Regidor Propietario</t>
  </si>
  <si>
    <t>Septima Regidora Propietaria</t>
  </si>
  <si>
    <t>Octava Regidora Propietaria</t>
  </si>
  <si>
    <t>Primera Regidora Suplente</t>
  </si>
  <si>
    <t>Cuarta Regidora Suplente</t>
  </si>
  <si>
    <t>Hector  Ismael estrada Vasquez</t>
  </si>
  <si>
    <t>Medardo Benitez Lopez</t>
  </si>
  <si>
    <t>Carlos Antonio Mendoza</t>
  </si>
  <si>
    <t>Ulices Hernandez Ramirez</t>
  </si>
  <si>
    <t>Marcelo Francisco Oporto</t>
  </si>
  <si>
    <t>Oscar Orlando Sandoval</t>
  </si>
  <si>
    <t>Maritza Carolina Maartinez</t>
  </si>
  <si>
    <t>Angela Dimas Vasquez Herrera</t>
  </si>
  <si>
    <t>Ana Aracely Barahona Alvarado</t>
  </si>
  <si>
    <t>Cristobal Ascencio Lopez</t>
  </si>
  <si>
    <t>Jose Andres Nieto Aparicio</t>
  </si>
  <si>
    <t>Francisca Idalia Martínez Segura</t>
  </si>
  <si>
    <t>ISSS 7.5%</t>
  </si>
  <si>
    <t>INSAFORP</t>
  </si>
  <si>
    <t>AFP 7.75%</t>
  </si>
  <si>
    <t>FISDL</t>
  </si>
  <si>
    <t>DIRECCION Y ADMINISTRACION MUNICIPAL</t>
  </si>
  <si>
    <t>04</t>
  </si>
  <si>
    <t>0401</t>
  </si>
  <si>
    <t>PROYECTOS DE DESARROLLO ECONOMICO Y SOCIAL</t>
  </si>
  <si>
    <t>Transporte</t>
  </si>
  <si>
    <t>Casetas Telefónicas</t>
  </si>
  <si>
    <t>Multas al Comercio</t>
  </si>
  <si>
    <t>Rentabilidad de cuentas Bancarias</t>
  </si>
  <si>
    <t>BONOS</t>
  </si>
  <si>
    <t>0303</t>
  </si>
  <si>
    <t>OSWALD SIBRIAN MIRANDA</t>
  </si>
  <si>
    <t xml:space="preserve">ALCALDE MUNICIPAL </t>
  </si>
  <si>
    <t xml:space="preserve">DIANA </t>
  </si>
  <si>
    <t>SECRETARIA DESPACHO ALCALDE</t>
  </si>
  <si>
    <t xml:space="preserve">OSCAR ARMANDO JOAQUIN RIVAS </t>
  </si>
  <si>
    <t xml:space="preserve">SINDICO MUNICIPAL </t>
  </si>
  <si>
    <t xml:space="preserve">MARIA JULIANA ESCOBAR MONTALVO </t>
  </si>
  <si>
    <t xml:space="preserve">SECRETARIA MUNICIPAL </t>
  </si>
  <si>
    <t xml:space="preserve">NELSON ADAN MARTINEZ </t>
  </si>
  <si>
    <t xml:space="preserve">MOTORISTA DESPACHO MUNICIPAL </t>
  </si>
  <si>
    <t xml:space="preserve">DOUGLAS FRANCISCO MARIN QUEZADA </t>
  </si>
  <si>
    <t xml:space="preserve">GERENTE GRAL </t>
  </si>
  <si>
    <t xml:space="preserve">HENRY DOUGLAS PALACIOS MONTENEGRO </t>
  </si>
  <si>
    <t>JEFE UACI</t>
  </si>
  <si>
    <t>ENCARG DE TESORERIA</t>
  </si>
  <si>
    <t xml:space="preserve">MILAGRO DE LOS ANGELES SEGURA </t>
  </si>
  <si>
    <t>ENCAR. DE COLECTURIA</t>
  </si>
  <si>
    <t xml:space="preserve">DAYSI MARGARITA ANGEL </t>
  </si>
  <si>
    <t>ENCAR. DE CONTABILIDAD</t>
  </si>
  <si>
    <t xml:space="preserve">ALISON CRISTIAN MEJIA </t>
  </si>
  <si>
    <t xml:space="preserve">AUXILIAR DE TESORERIA </t>
  </si>
  <si>
    <t xml:space="preserve">SARA YANIRA CAÑAS PORTILLO </t>
  </si>
  <si>
    <t>AUXLIIAR DE CONTABILIDAD</t>
  </si>
  <si>
    <t>MILAGRO ARELY HERNANDEZ MENJIVAR</t>
  </si>
  <si>
    <t xml:space="preserve">ENCAR. DE PRESUPUESTO </t>
  </si>
  <si>
    <t xml:space="preserve">SANTOS ENRIQUE MENDEZ GARCIA </t>
  </si>
  <si>
    <t xml:space="preserve">JEFE DE CATASTRO </t>
  </si>
  <si>
    <t>ANA DINORA JIMENES</t>
  </si>
  <si>
    <t xml:space="preserve">AUXILIAR DE CATASTRO </t>
  </si>
  <si>
    <t>ERICK ANTONIO MORALES GARCIA</t>
  </si>
  <si>
    <t xml:space="preserve">MARCO TULIO MATA MONTENEGRO </t>
  </si>
  <si>
    <t xml:space="preserve">AUXILIAR DE PROYECTOS </t>
  </si>
  <si>
    <t xml:space="preserve">KENIA </t>
  </si>
  <si>
    <t xml:space="preserve">AUXILIAR DE UACI </t>
  </si>
  <si>
    <t>ALEJANDRO GONZALEZ ANGELES</t>
  </si>
  <si>
    <t xml:space="preserve">SANTOS EMILIO FLORES BELTRAN </t>
  </si>
  <si>
    <t>AUXILIAR DE CUENTAS CORRIENTES</t>
  </si>
  <si>
    <t>MANUEL EDUARDO URQUILLA BAUTISTA</t>
  </si>
  <si>
    <t xml:space="preserve">KARLA KARINA COTO DE CALDERON </t>
  </si>
  <si>
    <t xml:space="preserve">JEFE DE CUENTAS CORRIENTES </t>
  </si>
  <si>
    <t xml:space="preserve">ENMA ELENA TEAS MOLINA DE MEJIA </t>
  </si>
  <si>
    <t>MARITZA HERNANDEZ DE SORIANO</t>
  </si>
  <si>
    <t>ELMER JOEL BELTRAN SEGURA</t>
  </si>
  <si>
    <t>JEFE DEL REGISTRO FAMILIAR</t>
  </si>
  <si>
    <t>GRISELDA ADALUZ LOVATO GONZALEZ</t>
  </si>
  <si>
    <t xml:space="preserve">AUXILIAR DEL REGISTRO FAMILIAR </t>
  </si>
  <si>
    <t>MARINA DEL ROSARIO RAMIREZ</t>
  </si>
  <si>
    <t>CARMEN GUADALUPE CARPIO</t>
  </si>
  <si>
    <t xml:space="preserve">ENCARGADA DE UNIDAD DE GENERO </t>
  </si>
  <si>
    <t>LETICIA GUILLERMINA DE MONTES</t>
  </si>
  <si>
    <t xml:space="preserve">ENCAR. DE DEPORTES </t>
  </si>
  <si>
    <t xml:space="preserve">WILLIAM ALFREDO MADRID GRACIAS </t>
  </si>
  <si>
    <t>ENCAR. DE INFORMATICA</t>
  </si>
  <si>
    <t>JOSE CARLOS AGUILAR</t>
  </si>
  <si>
    <t>ENCAR. DE UNIDAD DE AMBIENTAL</t>
  </si>
  <si>
    <t xml:space="preserve">ALEXANDER ANTONIO AGUILAR </t>
  </si>
  <si>
    <t>ENCARGADO DE UNIDAD DE COMUNICACIONES</t>
  </si>
  <si>
    <t>HENRI FRANKLIN SERRANO MEDRANO</t>
  </si>
  <si>
    <t xml:space="preserve">JEFE DE PROYECTOS </t>
  </si>
  <si>
    <t xml:space="preserve">XIOMARA NATALI SANCHEZ MARAVILLA </t>
  </si>
  <si>
    <t xml:space="preserve">ENCARGADA DE GESTION Y ARCHIVO DOCUMENTAL </t>
  </si>
  <si>
    <t>SALVADORA GARICA DE BELTRAN</t>
  </si>
  <si>
    <t xml:space="preserve">AUXILIAR DE ARCHIVO </t>
  </si>
  <si>
    <t xml:space="preserve">EVIN ALEXIS SANCHEZ PINTO </t>
  </si>
  <si>
    <t>ENCARGADO UNIDAD ACCESO INF. PUBLICA</t>
  </si>
  <si>
    <t xml:space="preserve">MIGUEL BELTRAN VASQUEZ </t>
  </si>
  <si>
    <t xml:space="preserve">JEFE DEL CAM </t>
  </si>
  <si>
    <t xml:space="preserve">JOSE MORIS BELTRAN MATIAS </t>
  </si>
  <si>
    <t>AUXILIAR AGENTE DEL CAM</t>
  </si>
  <si>
    <t>RIGOBERTO SANTOS</t>
  </si>
  <si>
    <t xml:space="preserve">JOSE RICARDO GARCIA </t>
  </si>
  <si>
    <t xml:space="preserve">JOSE ADELMO NAVAS PEREZ </t>
  </si>
  <si>
    <t>BAUDILIO GONZALEZ NAVARRO</t>
  </si>
  <si>
    <t xml:space="preserve">MIGUEL ANGEL ORELLANA GONZALEZ </t>
  </si>
  <si>
    <t xml:space="preserve">JEFE DE PROYECCION SOCIAL </t>
  </si>
  <si>
    <t>FRANCISCO PREZA HERNANDEZ</t>
  </si>
  <si>
    <t>AUXILIAR DE PROYECCION SOCIAL</t>
  </si>
  <si>
    <t xml:space="preserve">NANCY JAZMIN SANCHEZ AGUILAR </t>
  </si>
  <si>
    <t>HERBERT ALCIDES VIVAS HERNANDEZ</t>
  </si>
  <si>
    <t>MARVIN ANTONIO VIVAS MARTINEZ</t>
  </si>
  <si>
    <t>VICTOR AUGUSTO SANTOS VILLALOBO</t>
  </si>
  <si>
    <t xml:space="preserve">ALBA CAROLINA NIETO FLAMENCO </t>
  </si>
  <si>
    <t xml:space="preserve">RECEPCIONISTA </t>
  </si>
  <si>
    <t xml:space="preserve">NARCISO ANGEL PEREZ </t>
  </si>
  <si>
    <t>AUXILIAR DE SERVICIOS GENERALES</t>
  </si>
  <si>
    <t>JOSE FELIPE HERNANDEZ OPORTO</t>
  </si>
  <si>
    <t xml:space="preserve">YESSENIA ARACELY VIVAS RAYMUNDO </t>
  </si>
  <si>
    <t xml:space="preserve">ORDENANZA </t>
  </si>
  <si>
    <t>ADALBERTO FLORES</t>
  </si>
  <si>
    <t>MOTORISTA VEHICULO ADMON/OPERA.</t>
  </si>
  <si>
    <t xml:space="preserve">SARAI GUADALUPE BELTRAN MARTINEZ </t>
  </si>
  <si>
    <t>OSCAR OSMIN FLORES PEREZ</t>
  </si>
  <si>
    <t>MANUEL DE JESUS MUÑOZ</t>
  </si>
  <si>
    <t xml:space="preserve">MECANICO MUNICIPAL </t>
  </si>
  <si>
    <t>FRANCISCO DELGADO NAVARRO</t>
  </si>
  <si>
    <t>GUILLERMO ANTONIO RODRIGUEZ</t>
  </si>
  <si>
    <t>MOTORISTA VEHICULO ADMON/PFGL</t>
  </si>
  <si>
    <t>DOMINGO ARTURO RECINOS RAMOS</t>
  </si>
  <si>
    <t>TECNICO ELECTRICISTA</t>
  </si>
  <si>
    <t xml:space="preserve">JOSE GUILLERMO HURTADO </t>
  </si>
  <si>
    <t>MOTORISTA CAMION RECO. DES. SOLIDOS</t>
  </si>
  <si>
    <t xml:space="preserve">JOSE VASQUEZ MENDOZA </t>
  </si>
  <si>
    <t xml:space="preserve">AUXILIAR DEL TREN DE ASEO </t>
  </si>
  <si>
    <t xml:space="preserve">JAIME ROBERTO BAUTISTA </t>
  </si>
  <si>
    <t>LUIS ERNESTO LEMUS</t>
  </si>
  <si>
    <t xml:space="preserve">BARRENDERO SITIOS MUNICIPALES </t>
  </si>
  <si>
    <t xml:space="preserve">RAMIRO VALLE AGUILAR </t>
  </si>
  <si>
    <t xml:space="preserve">MARIA DE JESUS CORPEÑO </t>
  </si>
  <si>
    <t xml:space="preserve">MARIA MAGDALENA CAMPOS DE VIVAS </t>
  </si>
  <si>
    <t>Beneficios adicionales</t>
  </si>
  <si>
    <t>Materiales de defensa y seg. Publica</t>
  </si>
  <si>
    <t xml:space="preserve">Servicios de correo </t>
  </si>
  <si>
    <t xml:space="preserve">MAYRA LISSETHE  DE VASQUEZ </t>
  </si>
  <si>
    <t>IPSFA</t>
  </si>
  <si>
    <t>SERAFIN RUIZ RIVERA</t>
  </si>
  <si>
    <t>MOTORISTA MOTONIV.</t>
  </si>
  <si>
    <t xml:space="preserve">Beneficios adicionales </t>
  </si>
  <si>
    <t>Cont. Pat. Inst. Seg. Publica</t>
  </si>
  <si>
    <t>Cont. Pat.  Inst. Seg. Priv.</t>
  </si>
  <si>
    <t xml:space="preserve">Beneficios Adicionales </t>
  </si>
  <si>
    <t>Cont. Pat. Inst. Seg. Publ.</t>
  </si>
  <si>
    <t>Cont. Pat. Inst. Seg. Priv.</t>
  </si>
  <si>
    <t>Beneficios Adicionales</t>
  </si>
  <si>
    <t>Cont. Pat. Inst. Seg. Pub.</t>
  </si>
  <si>
    <t>Cont. Pat. Inst. Seg. Priv</t>
  </si>
  <si>
    <t>51103</t>
  </si>
  <si>
    <t>51107</t>
  </si>
  <si>
    <t>51401</t>
  </si>
  <si>
    <t>51501</t>
  </si>
  <si>
    <t>Materiales de defensa y seg. Publ.</t>
  </si>
  <si>
    <t>Arrendamiento de bienes inmuebles</t>
  </si>
  <si>
    <t>L.T</t>
  </si>
  <si>
    <t>SALARIO MENSUAL</t>
  </si>
  <si>
    <t>BONO</t>
  </si>
  <si>
    <t>AGUINALDO</t>
  </si>
  <si>
    <t>SALARIO</t>
  </si>
  <si>
    <t>ISS/INSAF</t>
  </si>
  <si>
    <t>´0101</t>
  </si>
  <si>
    <t>Cont. Pat.Inst. Seg. Pub.</t>
  </si>
  <si>
    <t>Cont. Pat.Inst. Seg. Priv.</t>
  </si>
  <si>
    <t>´0102</t>
  </si>
  <si>
    <t>´0201</t>
  </si>
  <si>
    <t>´0303</t>
  </si>
  <si>
    <t>GRAN TOTAL</t>
  </si>
  <si>
    <t>51999</t>
  </si>
  <si>
    <t>Papel y Carton</t>
  </si>
  <si>
    <t>Becas</t>
  </si>
  <si>
    <t>Vehiculos de Transporte</t>
  </si>
  <si>
    <t>Herramientas Repuestos Principales</t>
  </si>
  <si>
    <t>Maquinaria y Equipo de Producción</t>
  </si>
  <si>
    <t>Vehículos de Tranporte</t>
  </si>
  <si>
    <t xml:space="preserve">ALCALDIA MUNICIPAL DE SAN PEDRO PERULAPAN </t>
  </si>
  <si>
    <t xml:space="preserve">DEPARTAMENTO DE CUSCATLAN </t>
  </si>
  <si>
    <t>Unidad Presupuestaria</t>
  </si>
  <si>
    <t>ok</t>
  </si>
  <si>
    <t>NIVELACION SALARIAL</t>
  </si>
  <si>
    <t>TOTAL SALARIO</t>
  </si>
  <si>
    <t>arrendamiento de bienes muebles</t>
  </si>
  <si>
    <t>arrendamiento de bienes inmuebles</t>
  </si>
  <si>
    <t>materiales informaticos</t>
  </si>
  <si>
    <t xml:space="preserve">ALCALDIA MUNICIPAL  DE SAN PEDRO PERULAPAN </t>
  </si>
  <si>
    <t>Ctas. Por Pagar De Años Anteriores</t>
  </si>
  <si>
    <t>Gastos de Representación//Servicios en el Pais</t>
  </si>
  <si>
    <t>TRANSFERENCIA DE CAPITAL 2%</t>
  </si>
  <si>
    <t>TRANSFERENCIAS CORRIENTES 25%</t>
  </si>
  <si>
    <t>TRANSFERENCIAS DE CAPITAL 75%</t>
  </si>
  <si>
    <t>Complementos</t>
  </si>
  <si>
    <t>Por prestación de Servicios en el País</t>
  </si>
  <si>
    <t>Al personal permanente</t>
  </si>
  <si>
    <t>Indemnizaciones</t>
  </si>
  <si>
    <t>Materiales e Instrumental de Lab. Y Uso Med</t>
  </si>
  <si>
    <t>FODES 2%</t>
  </si>
  <si>
    <t>FODES</t>
  </si>
  <si>
    <t xml:space="preserve"> FONDO GENERAL</t>
  </si>
  <si>
    <t>Ctas. Por Pagar de Años Anteriores</t>
  </si>
  <si>
    <t>Fondos Propios 00</t>
  </si>
  <si>
    <t>FODES 25%110</t>
  </si>
  <si>
    <t>FODES 75% 111</t>
  </si>
  <si>
    <t>FODES 2% 111</t>
  </si>
  <si>
    <t>Serv. De Lavanderia y Planchado</t>
  </si>
  <si>
    <t>Viaticos por Comision Externa</t>
  </si>
  <si>
    <t>A empresas privadas no financieras(Comision CAESS, COMURES,CDA)</t>
  </si>
  <si>
    <t>Viales 75%</t>
  </si>
  <si>
    <t>Viales 2%</t>
  </si>
  <si>
    <t>Por prestaciones de servicios en el pais</t>
  </si>
  <si>
    <t>remuneraciones diversas</t>
  </si>
  <si>
    <t>Materiales e inst. de lab. Y uso med.</t>
  </si>
  <si>
    <t>Alumbrado publico</t>
  </si>
  <si>
    <t>Serv. De lavanderia y planchado</t>
  </si>
  <si>
    <t>Servicio de alimentacion</t>
  </si>
  <si>
    <t>viaticos por comisión externa</t>
  </si>
  <si>
    <t>por remuneraciones permanentes</t>
  </si>
  <si>
    <t>ctas por pagar de años anteriores</t>
  </si>
  <si>
    <t>Cuentas por cobrar de años anteriores</t>
  </si>
  <si>
    <t>CUENTAS DE AÑOS ANTERIORES</t>
  </si>
  <si>
    <t>PERIODO</t>
  </si>
  <si>
    <t>RUBROS DE MORA</t>
  </si>
  <si>
    <t>SECTORES</t>
  </si>
  <si>
    <t>MESES</t>
  </si>
  <si>
    <t>entrada 2019</t>
  </si>
  <si>
    <t>% aumento</t>
  </si>
  <si>
    <t xml:space="preserve">diferencia </t>
  </si>
  <si>
    <t>CONSOLIDADO DE MORA DE ASEO Y ALUMBRADO EN ZONA RURAL</t>
  </si>
  <si>
    <t>TOTAL PROYECTADO</t>
  </si>
  <si>
    <t>cuero y caucho</t>
  </si>
  <si>
    <t>materiales e instrumental de lab y uso med.</t>
  </si>
  <si>
    <t>materiales de defensa y seg, publica</t>
  </si>
  <si>
    <t>Maquinaria y equipo</t>
  </si>
  <si>
    <t>Remuneraciones Extraordinarias</t>
  </si>
  <si>
    <t>Horas Extraordinarias</t>
  </si>
  <si>
    <t>Desarrollo informatico</t>
  </si>
  <si>
    <t>maquinaria y equipo para la produccion</t>
  </si>
  <si>
    <t>M</t>
  </si>
  <si>
    <t>PROYECTOS 2%</t>
  </si>
  <si>
    <t>FUENTE O SUBFUENTE DE FINANCIAMIENTO: FISDL</t>
  </si>
  <si>
    <t>A PERSONAS NATURALES</t>
  </si>
  <si>
    <t>TOTAL GASTOS 0101</t>
  </si>
  <si>
    <t>FUENTE O SUBFUENTE DE FINANCIAMIENTO: ISNA</t>
  </si>
  <si>
    <t>PRESUPUESTO MUNICIPAL POR AREAS DE GESTION EJERCICIO FISCAL 2021</t>
  </si>
  <si>
    <t>ESTRUCTURA PRESUPUESTARIA, EJERCICIO 2021</t>
  </si>
  <si>
    <t>PRESUPUESTO POR RUBROS DE AGRUPACION, AÑO 2021</t>
  </si>
  <si>
    <t>PRESUPUESTO MUNICIPAL DE INGRESOS 2021</t>
  </si>
  <si>
    <t>AÑO 2021</t>
  </si>
  <si>
    <t>EJERCICIO 2021</t>
  </si>
  <si>
    <t>PRESUPUESTO DIETAS PARA EL EJERCICIO 2021</t>
  </si>
  <si>
    <t>ISSS</t>
  </si>
  <si>
    <t>SALARIO ANUAL MÁS PRESTACIONES</t>
  </si>
  <si>
    <t>ENERO</t>
  </si>
  <si>
    <t>FEBRERO</t>
  </si>
  <si>
    <t>MARZO</t>
  </si>
  <si>
    <t>proyeccion 2021</t>
  </si>
  <si>
    <t>MAYO</t>
  </si>
  <si>
    <t>JUNIO</t>
  </si>
  <si>
    <t>JULIO</t>
  </si>
  <si>
    <t>AGOSTO</t>
  </si>
  <si>
    <t>ABRIL</t>
  </si>
  <si>
    <t>SEPTIEMBRE</t>
  </si>
  <si>
    <t>OCTUBRE</t>
  </si>
  <si>
    <t>Contratación de Emprestitos</t>
  </si>
  <si>
    <t>Cuentas por cobrar de años anteriores//Fodes pendientes de 2020 -Junio-dic</t>
  </si>
  <si>
    <t>PRESUPUESTO DE SALARIOS PARA EL EJERCICIO 2021 REGISTROS AUXILIARES</t>
  </si>
  <si>
    <t xml:space="preserve"> </t>
  </si>
  <si>
    <t>Tasas Diversas</t>
  </si>
  <si>
    <t xml:space="preserve">MORA DE TASAS DE AREA URBANA </t>
  </si>
  <si>
    <t>CONSOLIDADO DE MORA DE IMPUESTOS A 2019</t>
  </si>
  <si>
    <t>SALDO DE MORA A DIC 2019</t>
  </si>
  <si>
    <t>CONSOLIDADO DE MORA DE AGUA Y MERCADO</t>
  </si>
  <si>
    <t>CONSOLIDADO DE MORA DE POSTES,TORRES  Y VALLAS PUBLICITARIAS</t>
  </si>
  <si>
    <t>CONSOLIDADO DEL 5% FIESTAS PATRONALES</t>
  </si>
  <si>
    <t>PROGRAMA DE MODERNIZACION, AMPLIACION  Y MANTENIMIENTO  DEL ALUMBRADO PUBLICO DEL MUNICIPIO DE SAN PEDRO PERULAPAN AÑO 2021</t>
  </si>
  <si>
    <t>PROGRAMA DE BARRIDO, RECOLECCION Y DISPOSICION FINAL DE LOS DESEHOS SOLIDOS EN EL MUNICIPIO DE SAN PEDRO PERULAPAN, AÑO 2021</t>
  </si>
  <si>
    <t>PROGRAMA PARA LA CONMEMORACION HISTORICO CULTURAL DE LA BATALLA DEL GENERAL FRANCISCO MORAZAN, COMO PARTE DE LA IDENTIDAD DEL MUNICIPIO DE SAN PEDRO PERULAPAN, 25 DE SEPTIEMBRE</t>
  </si>
  <si>
    <t>PROGRAMA DE INCENTIVO AL DESARROLLO DEL ARTE Y LA CULTURA EN SUS DIFERENTES EXPRESIONES ARTISTICAS DIRIGIDA A JOVENES EN RIESGOS</t>
  </si>
  <si>
    <t>PROGRAMA DE APOYO AL DESARROLLO DE LAS ESCUELAS DE MUSICA (VARIOS INSTRUMENTOS) Y LA SINFONICA EN EL CASCO URBANO Y LOS CANTONES DEL MUNICIPIO DE SAN PEDRO PERULAPAN</t>
  </si>
  <si>
    <t>PROYECTO DE FOMENTO Y RECONOCIMIENTO A LA IMPORTANCIA DE LA MUJER EN EL PAPEL DE MADRE DENTRO DE LA SOCIEDAD</t>
  </si>
  <si>
    <t xml:space="preserve">BIENES MUEBLES E INMUEBLES </t>
  </si>
  <si>
    <t xml:space="preserve"> PRE-INVERSION   SOCIAL</t>
  </si>
  <si>
    <t>PROYECTOS SOCIALES  PARA AÑO 2021</t>
  </si>
  <si>
    <t xml:space="preserve">100 AÑOS CIUDAD SPP </t>
  </si>
  <si>
    <t>MONTOS ESTIMADOS</t>
  </si>
  <si>
    <t>PROGRAMA DE MANTENIMEINTO DE RED VIAL MUNICIPAL AÑO 2021</t>
  </si>
  <si>
    <t>PROY. DE INFRAESTRUCTURA EDIFICIO ALCALDIA 2021</t>
  </si>
  <si>
    <t xml:space="preserve">NOTA:  SE HACE CONSTAR  QUE EL MONTO  ASIGNADO DEL 75% 2021 SERA    POR </t>
  </si>
  <si>
    <t>PROGRAMA DE FOMENTO AL DEPORTE, SEGUIMIENTO A ESCUELAS MUNICIPALES DE FUTBOL Y TAE KWAN DO EN FUNCION DE PREVENIR LA VIOLENCIA EN EL MUNICIPIO, AÑO 2021</t>
  </si>
  <si>
    <t>PROGRAMA DE MITIGACION DE RIESGOS , AGUA Y SANEAMIENTO AMBIENTAL MUNICIPIO DE SAN PEDRO PERULAPAN AÑO 2021</t>
  </si>
  <si>
    <t>PROGRAMA MUNCIPAL DE BECAS UNIVERSITARIAS  PARA ESTUDIANTES DE ESCASOS RECURSOS ECONOMICOS DEL MUNICIPIO DE SAN PEDRO PERULAPAN 2021</t>
  </si>
  <si>
    <t>PROGRAMA DE FOMENTO PARA MANTENER E IMPULSAR LA IDENTIDAD HISTORICA, CULTURAL Y RELIGIOSA  DE LOS DIFERENTES CANTONES Y CASERIOS, INCENTIVANDO LA PARTICIPACION DE LOS JOVENES EN ACTIVIDADES DE BENEFICIO ECONOMICO Y SOCIAL  AÑO 2021</t>
  </si>
  <si>
    <t>PROGRAMA DE FOMENTO A  LA SALUD ALIMENTARIA DEL ADULTO MAYOR Y PERSONAS DISCAPACITADAS  QUE PRESENTEN POBREZA SEVERA EN EL MUNICIPIO DE    SAN PEDRO PERULAPAN, AÑO 2021</t>
  </si>
  <si>
    <t>PROGRAMA DE FOMENTO E IMPULSO A LA EDUCACION CON APOYO A INVERSION EN OBRAS BASICAS  DE INFRAESTRUCTURA Y OTRAS NECESIDADES QUE CONTRIBUYAN AL APRENDIZAJE EN CENTROS ESCOLARES DEL MUNICIPIO DE SAN PEDRO PERULAPAN, AÑO 2021</t>
  </si>
  <si>
    <t>FIESTAS PATRONALES DEL MUNICIPIO DE SPP EN HONOR A SAN PEDRO APOSTOL 2021</t>
  </si>
  <si>
    <t>PROGRAMA DE FOMENTO Y DIGNIFICACION  A FAMILIAS DE ESCASOS RECURSOS QUE PRESENTEN  VULNERABILIDAD EN SUS VIVIENDAS ANTE EL CAMBIO CLIMATICO Y DESASTRES NATURALES  EN EL MUNICIPIO  DE SAN PEDRO PERULAPAN, AÑO 2021</t>
  </si>
  <si>
    <t>Transferencias corrientes al sector publico(COMURES/ASOMUC)</t>
  </si>
  <si>
    <t>a empresas privadas no financieras,(CDA)</t>
  </si>
  <si>
    <t>a empresas privadas no financieras (COMISION CAESS)</t>
  </si>
  <si>
    <t>Productos de cuero y caucho</t>
  </si>
  <si>
    <t>PROGRAMA DE APOYO AL AGRO SPP</t>
  </si>
  <si>
    <t xml:space="preserve">SUPERVISION </t>
  </si>
  <si>
    <t>CONTRAPARTIDA</t>
  </si>
  <si>
    <t>Cuentas por cobrar de años anteriores//mora tributaria( 10% de $254,395.51, según datos proporcionados por UATM)</t>
  </si>
  <si>
    <t>al personal permante(indemnizaciones)</t>
  </si>
  <si>
    <t>PRESUPUESTO DE EGRESOS DE INVERSIÓN(2%)</t>
  </si>
  <si>
    <t>TOTAL GASTOS 0401</t>
  </si>
  <si>
    <t>TRANSFERENCIA (ISNA)</t>
  </si>
  <si>
    <t>TRANSFERENCIA(ISNA)</t>
  </si>
  <si>
    <t>PROYECTOS  SOCIALES 2021</t>
  </si>
  <si>
    <t>PROYECTOS SOCIALES PARA AÑO 2021</t>
  </si>
  <si>
    <t xml:space="preserve">CODIGO </t>
  </si>
  <si>
    <t xml:space="preserve">ESPECIFICO </t>
  </si>
  <si>
    <t>MONTO</t>
  </si>
  <si>
    <t>MATERIALES ELECTRICOS</t>
  </si>
  <si>
    <t>MINERALES METALICOS Y PRODUCTOS DERIVADOS</t>
  </si>
  <si>
    <t xml:space="preserve">HERRAMIENTAS REPUESTOS Y ACCESORIOS </t>
  </si>
  <si>
    <t xml:space="preserve">COMISIONES Y GASTOS BANCARIOS </t>
  </si>
  <si>
    <t>MINERALES NO METALICOS Y PRODUCTOS DERIVADOS</t>
  </si>
  <si>
    <t xml:space="preserve">PRODUCTOS QUIMICOS </t>
  </si>
  <si>
    <t>SERVICIOS GRALES Y ARRENDAMIENTOS</t>
  </si>
  <si>
    <t>1-PRE-INVERSION 2021</t>
  </si>
  <si>
    <t>2-PROGRAMA MODERNIZACION, AMPLIACION Y MANTENIMIENTO DEL ALUMBRADO PUBLICO SPP 2021</t>
  </si>
  <si>
    <t>2-</t>
  </si>
  <si>
    <t>CODIGO</t>
  </si>
  <si>
    <t>NOMBRE</t>
  </si>
  <si>
    <t>LLANTAS Y NEUMATICOS</t>
  </si>
  <si>
    <t>HERRAMIENTAS, REPUESTOS Y ACCESORIOS</t>
  </si>
  <si>
    <t>VEHICULOS DE TRANSPORTE</t>
  </si>
  <si>
    <t>HERRAMIENTAS Y REPUESTOS PRINCIPALES</t>
  </si>
  <si>
    <t>LUBRICANTES Y COMBUSTIBLE</t>
  </si>
  <si>
    <t>PRODUCTOS TEXTILES Y VESTUARIO</t>
  </si>
  <si>
    <t>CUERO Y CAUCHO</t>
  </si>
  <si>
    <t>BIENES DE USO Y CONSUMO DIVERSO</t>
  </si>
  <si>
    <t>ARRENDAMIENTO DE BIENES MUEBLES</t>
  </si>
  <si>
    <t>COMISIONES Y GASTOS BANCARIOS</t>
  </si>
  <si>
    <t xml:space="preserve">SALARIOS POR JORNAL </t>
  </si>
  <si>
    <t xml:space="preserve">MATERIALES NO METALICOS Y PRODUCTOS </t>
  </si>
  <si>
    <t xml:space="preserve">MATERIALES METALICOS Y DERIVADOS </t>
  </si>
  <si>
    <t>3-</t>
  </si>
  <si>
    <t xml:space="preserve">MONTO </t>
  </si>
  <si>
    <t xml:space="preserve">MINERALES METALICOS Y PRODUCTOS DERIVADOS </t>
  </si>
  <si>
    <t xml:space="preserve">PRODUCTOS TEXTILES Y VESTUARIO </t>
  </si>
  <si>
    <t xml:space="preserve">CUERO Y CAUCHO </t>
  </si>
  <si>
    <t>SERVICIOS DE PUBLICIDAD</t>
  </si>
  <si>
    <t xml:space="preserve">REMUNERACIONES DIVERSAS </t>
  </si>
  <si>
    <t xml:space="preserve">ARRENDAMIENTO DE BIENES MUEBLES </t>
  </si>
  <si>
    <t xml:space="preserve">TRANSPORTE, FLETE Y ALMACENAMIENTO </t>
  </si>
  <si>
    <t xml:space="preserve">BIENES DE USO Y CONSUMO DIVERSO </t>
  </si>
  <si>
    <t>4-</t>
  </si>
  <si>
    <t>CODIGOS</t>
  </si>
  <si>
    <t>ESPECIFICOS</t>
  </si>
  <si>
    <t>MONTOS</t>
  </si>
  <si>
    <t xml:space="preserve">MINERALES NO METALICOS Y PRODUCTOS DERIVADOS </t>
  </si>
  <si>
    <t xml:space="preserve">PRODUCTOS AGROPECUARIOS Y FORESTALES </t>
  </si>
  <si>
    <t>PRODUCTOS QUIMICOS</t>
  </si>
  <si>
    <t xml:space="preserve">ARRENDAMIENTOS DE BIENES MUEBLES </t>
  </si>
  <si>
    <t xml:space="preserve">COMBUSTIBLE Y LUBRICANTES </t>
  </si>
  <si>
    <t xml:space="preserve">MAQUINARIA Y EQUIPO DE PRODUCCION </t>
  </si>
  <si>
    <t xml:space="preserve">PAPEL Y CARTON </t>
  </si>
  <si>
    <t xml:space="preserve">TOTAL </t>
  </si>
  <si>
    <t>PROGRAMA DE MITIGACION DE RIESGOS , AGUA Y SANEAMIENTO AMBIENTAL MUNICIPIO SPP AÑO 2021</t>
  </si>
  <si>
    <t>ESPECIFICO</t>
  </si>
  <si>
    <t>BECAS</t>
  </si>
  <si>
    <t>TRANSPORTE, FLETE Y ALMACENAMIENTO</t>
  </si>
  <si>
    <t>PROGRAMA MUNCIPAL DE BECAS UNIVERSITARIAS  PARA ESTUDIANTES DE ESCASOS RECURSOS ECONOMICOS DEL MUNICIPIO SPP 2021</t>
  </si>
  <si>
    <t>6-</t>
  </si>
  <si>
    <t>BIENES DE USO Y CONSUM DIVERSO</t>
  </si>
  <si>
    <t>SERVICIOS GENERALES Y ARRENDAMIENTOS DIVERSOS</t>
  </si>
  <si>
    <t>7-</t>
  </si>
  <si>
    <t xml:space="preserve">PRODUCTOS ALIMENTICIOS PARA PERSONAS </t>
  </si>
  <si>
    <t>8-</t>
  </si>
  <si>
    <t>MATERIALES METALICOS Y PRODUCTOS DERIVADOS</t>
  </si>
  <si>
    <t>9-</t>
  </si>
  <si>
    <t>ATENCIONES OFICIALES</t>
  </si>
  <si>
    <t>TRANSPORTE FLETE Y ALMACENAMIENTO</t>
  </si>
  <si>
    <t>COMBUSTIBLE</t>
  </si>
  <si>
    <t xml:space="preserve">PUBLICIDAD </t>
  </si>
  <si>
    <t>COMISIONES Y GASOS BANCARIOS</t>
  </si>
  <si>
    <t>ARRENDAMIENTOS</t>
  </si>
  <si>
    <t>10-</t>
  </si>
  <si>
    <t>TRANSPORTE FLETE Y ALMACENAMENTO</t>
  </si>
  <si>
    <t>BIENES MUEBLES DIVERSOS</t>
  </si>
  <si>
    <t>11-</t>
  </si>
  <si>
    <t>A ORGANISMOS SIN FINES DE LUCRO</t>
  </si>
  <si>
    <t>MATERIALES NO METALICOS</t>
  </si>
  <si>
    <t>MATERIALES METALICOS Y DERIVADOS</t>
  </si>
  <si>
    <t>12-</t>
  </si>
  <si>
    <t xml:space="preserve">ATENCIONES OFICIALES </t>
  </si>
  <si>
    <t>13-</t>
  </si>
  <si>
    <t xml:space="preserve">PRODUCTOS TEXTILES Y VESTUARIOS </t>
  </si>
  <si>
    <t xml:space="preserve">PROYECTO DE FOMENTO Y RECONOCIMIENTO A LA IMPORTANCIA DE LA MUJER EN EL PAPEL DE MADRE DENTRO DE LA SOCIEDAD </t>
  </si>
  <si>
    <t xml:space="preserve">SERVICIOS GRAL Y ARRENDAMIENTO DIVERSO </t>
  </si>
  <si>
    <t>15-</t>
  </si>
  <si>
    <t>PROGRAMA DE MANTENIMIENTO RED VIAL AÑO 2021</t>
  </si>
  <si>
    <t xml:space="preserve">MINERALES NO METALICOS </t>
  </si>
  <si>
    <t xml:space="preserve">PRODUCTO QUIMICO </t>
  </si>
  <si>
    <t xml:space="preserve">HERRAMIENTAS REPUESTO ACCESORIOS </t>
  </si>
  <si>
    <t xml:space="preserve">LLANTAS Y NEUMATICOS </t>
  </si>
  <si>
    <t xml:space="preserve">SERVICIOS GRAL Y ARRENDAMIENTOS </t>
  </si>
  <si>
    <t>16-</t>
  </si>
  <si>
    <t>BIENES MUEBLES E INMUEBLES 2021</t>
  </si>
  <si>
    <t>17-</t>
  </si>
  <si>
    <t>18-</t>
  </si>
  <si>
    <t xml:space="preserve">PROGRAMA DE APOYO AL AGRO SPP </t>
  </si>
  <si>
    <t>19-</t>
  </si>
  <si>
    <t xml:space="preserve">CONTRAPARTIDA </t>
  </si>
  <si>
    <t>20-</t>
  </si>
  <si>
    <t>PROGRAMA DE FOMENTO PARA MANTENER E IMPULSAR LA IDENTIDAD HISTORICA, CULTURAL Y RELIGIOSA  DE LOS DIFERENTES 
CANTONES Y CASERIOS, INCENTIVANDO LA PARTICIPACION DE LOS JOVENES EN ACTIVIDADES DE BENEFICIO ECONOMICO Y SOCIAL 2021</t>
  </si>
  <si>
    <t>PROGRAMA DE FOMENTO A  LA SALUD ALIMENTARIA DEL ADULTO MAYOR Y PERSONAS DISCAPACITADAS  
QUE PRESENTEN POBREZA SEVERA EN EL MUNICIPIO SPP 2021</t>
  </si>
  <si>
    <t>PROGRAMA DE FOMENTO AL DEPORTE, SEGUIMIENTO A ESCUELAS MUNICIPALES DE FUTBOL Y TAE KWAN DO EN FUNCION 
DE PREVENIR LA VIOLENCIA 2021</t>
  </si>
  <si>
    <t>FUENTE O SUBFUENTE DE FINANCIAMIENTO: FODES 2%</t>
  </si>
  <si>
    <t xml:space="preserve">MINERALES METALICOS </t>
  </si>
  <si>
    <t xml:space="preserve">CONSTRUCCION DE  CEMENTERIO MPAL EN CANTON ISTAGUA  SOBRE CALLE A CALLE EL RODEO SPP 2021   CON UN VALOR </t>
  </si>
  <si>
    <t>Cuentas por cobrar de años anteriores//REINTEGRO POR PRESTMOS DEL 25% Y FDOS PROP</t>
  </si>
  <si>
    <r>
      <t>Transfer. de Capital del Sector Público</t>
    </r>
    <r>
      <rPr>
        <b/>
        <sz val="10"/>
        <rFont val="Arial"/>
        <family val="2"/>
      </rPr>
      <t>(75%fodes)</t>
    </r>
  </si>
  <si>
    <r>
      <t>Transfer. de Capital del Sector Público(</t>
    </r>
    <r>
      <rPr>
        <b/>
        <sz val="10"/>
        <rFont val="Arial"/>
        <family val="2"/>
      </rPr>
      <t>2%fodes</t>
    </r>
    <r>
      <rPr>
        <sz val="10"/>
        <rFont val="Arial"/>
        <family val="2"/>
      </rPr>
      <t>)</t>
    </r>
  </si>
  <si>
    <r>
      <t>Transfer. Corrientes del Sector Publico(</t>
    </r>
    <r>
      <rPr>
        <b/>
        <sz val="10"/>
        <rFont val="Arial"/>
        <family val="2"/>
      </rPr>
      <t>25%fodes)</t>
    </r>
  </si>
  <si>
    <t>GOES</t>
  </si>
  <si>
    <t>FONDOS EMERGENCIA COVID-19</t>
  </si>
  <si>
    <t>FONDOS EMERGENCIA  COVID-19 ( GOES)</t>
  </si>
  <si>
    <t>Transferencia  de capial del Sector publico( transf. Al ISNA )</t>
  </si>
  <si>
    <t>TRANSFERENCIA DE CAPITAL (ISNA)</t>
  </si>
  <si>
    <t xml:space="preserve">22- PROYECTOS SOCIALES  PARA 2021 </t>
  </si>
  <si>
    <t xml:space="preserve">PAV DE 225 ML CON MEZCLA ASFALTICA EN SECTOR EL CEMENTERIO MUNICIPAL CASCO URBANO DE SPP </t>
  </si>
  <si>
    <t xml:space="preserve">VIALES </t>
  </si>
  <si>
    <t xml:space="preserve">PAV. DE 200 ML DE CONCRETO ASFALTICO EN SECTOR DESVIO AL LIMON EN CANTON EL LIMON SPP </t>
  </si>
  <si>
    <t xml:space="preserve">CONSTRUCCION DE 113 ML DE BANDAS DE CONCRETO HIDRAULICO EN SECTOR EL CERRO CANTON EL ESPINO SPP </t>
  </si>
  <si>
    <t xml:space="preserve">PAV. DE 103.5 ML CON CONCRETO HIDRAULICO SECTOR SAN CARLOS CANTON ISTAGUA SPP </t>
  </si>
  <si>
    <t>5-</t>
  </si>
  <si>
    <t xml:space="preserve">PAV. DE 91ML CON MEZCLA ASFALTICA EN ZONA TASAJERA CANTON HUIZILTEPEQUE SPP </t>
  </si>
  <si>
    <t xml:space="preserve">PAV. DE 92.7 ML CON CONCRETO HIDRAULICO EN LOTIFICACION SAN CRISTOBAL CANTON ISTAHUA </t>
  </si>
  <si>
    <t xml:space="preserve">PAV. DE 157 ML CON MEZCLA ASFALTICA EN CALLE PRINCIPAL SECTOR EL PARAISO ABAJO SPP </t>
  </si>
  <si>
    <t xml:space="preserve">PAV. DE 200 ML CON MEZCLA ASFALTICA EN LIMITE CON SAN MARTIN CANTON SAN AGUSTIN SPP </t>
  </si>
  <si>
    <t xml:space="preserve">PAV DE 250 ML CON MEZCLA ASFALTICA EN SECTOR LA LOMITA CANTON MIRAFLORES SPP </t>
  </si>
  <si>
    <t xml:space="preserve">PAV DE 150 ML CON CONCRETO HIDRAULICO SECTOR LA IGLESIA DE CANDELARIA CANTON SAN FRANCISCO SPP </t>
  </si>
  <si>
    <t>PAVIMENTACION DE 104 ML CON MEZCLA ASFALTICA EN CASERIO LOS BELTRANES, CANTON LA CRUZ, SPP AÑO 2020</t>
  </si>
  <si>
    <t>PAVIMENTACION DE 121 ML CON MEZCLA ASFALTICA EN SECTOR LOS RAMIREZ, CANTON PARAISO ARRIBA SPP 2020</t>
  </si>
  <si>
    <t>CONSTRUCCION DE 150ML BANDAS DE CONCRETO HIDRAULICO SECTOR LOS NARANJOS CANTON TECOLUCO AÑO 2020</t>
  </si>
  <si>
    <t>PAVIMENTACION DE 63 ML CONCRETO HIDRAULICO SECTOR EL TAMARINDO, CANTON LA LOMA SPP AÑO 2020</t>
  </si>
  <si>
    <t>RECARPETEO CON MEZCLA ASFALTICA EN ENTRADA DE KM 22 AL CEMENTERIO MPAL CANTON LA LOMA SPP 2020</t>
  </si>
  <si>
    <t>PAV. DE 69 ML CON CONCRETO HIDRAUCICO EN SECTOR LA ESCUELA CANTON TECOLUCO ARRIBA SPP 2020</t>
  </si>
  <si>
    <t>RECARPETEO CON MEZCLA ASFALTICA DE 300 SECTOR LA ESCUELA EL ROTULO CANTON TECOMATEQUE SPP 2020</t>
  </si>
  <si>
    <t xml:space="preserve">PAV DE 200 ML CON MEZCLA ASFALTICA SECTOR LA IGLESIA CANTON LA ESPERANZA SPP 2020 </t>
  </si>
  <si>
    <t>PAV. DE 131 ML CON MEZCLA ASFALTICA EN SECTOR LOS AGUILARES, CANTON LA LOMA SPP 2020</t>
  </si>
  <si>
    <t>PAV. DE 41 ML DE CONCRETO HIDRAUCICO EN SECTOR EL GUAYABO CANTON LA LOMA SPP 2020</t>
  </si>
  <si>
    <t>PAV. DE 240 ML CON MEZCLA ASFALTICA EN EL SECTOR EL BOSQUE CANTON EL CARMEN SPP 2020</t>
  </si>
  <si>
    <t>PAV. DE 250 ML CON MEZCLA ASFALTICA EN CUESTA EL CEMENTERIO CANTON TECOMATEPEQUE SPP 2020</t>
  </si>
  <si>
    <t>PAV. DE 324 ML CON MEZCA ASFALTICA EN CALLE PRINCIPAL CANTON SAN FRANCISCO SECTOR EL ZAPOTE SPP 2020</t>
  </si>
  <si>
    <t>14-</t>
  </si>
  <si>
    <t>PAV. DE 205 ML CON MEZCLA ASFALTICA EN CALLE HACIA SANTA ANITA CANTON TECOLUCO ABAJO SPP 2020</t>
  </si>
  <si>
    <t xml:space="preserve">PROYECTO CANCHA EL ESPINO </t>
  </si>
  <si>
    <t xml:space="preserve">PROYECTO CANCHA LA LOMA </t>
  </si>
  <si>
    <t xml:space="preserve">PROYECTO CANCHA LA ESPERANZA </t>
  </si>
  <si>
    <t xml:space="preserve">18-PROYECTO CANCHA CASCO URBANO </t>
  </si>
  <si>
    <t xml:space="preserve">PROYECTO DE CONSTRUCCION DE PASARELA ENTRADA PRINCIPAL SAN PEDRO PERULAPAN KM 21 1/2 CANTON LA LOMA </t>
  </si>
  <si>
    <t>2. PROYECTOS A EJECUTAR 2021 DE PARTE DE PROYECTOS</t>
  </si>
  <si>
    <t>3. INFORMAION    DE  UACI Y PROYECTOS  SEGÚN AC. DE ADJUDICACION PROYECTO-2020</t>
  </si>
  <si>
    <t>FUENTE O SUBFUENTE DE FINANCIAMIENTO: FONDOS GOES ( EMERGENCIA COVID-19)</t>
  </si>
  <si>
    <t>Materiales e Instrumental  de laboratorio y uso medico</t>
  </si>
  <si>
    <t>109</t>
  </si>
  <si>
    <t xml:space="preserve">2. según decreto legislativos 650  </t>
  </si>
  <si>
    <t>PROYECTOS : COES  POR EMERGENCIA COVID-19</t>
  </si>
  <si>
    <t>4 - DE INFRAESTRUCTURA</t>
  </si>
  <si>
    <t>SALDO DE AÑOS ANTERIORES(incluye  saldos de la transferencia con fondos GOES)</t>
  </si>
  <si>
    <t>5. TRANSFERENCIAS  FODES:25%, 2% Y 75%FODES</t>
  </si>
  <si>
    <t>3. HISTORIAL DE SALDOS BANCARIOS CONCILIADOS</t>
  </si>
  <si>
    <t>7. SE HACE CONSTAR, QUE 25% REINTEGRARA AL 75% $211,185.09 POR PRESTAMOS REALIZADOS PARA PAGO PLANILLA SALARIOS, AÑO 2020</t>
  </si>
  <si>
    <t>RESUMEN DE LA ASIGNACION  2021</t>
  </si>
  <si>
    <t>TOTAL PROYECTOS SOCIALES</t>
  </si>
  <si>
    <t>TOTAL PROYECTOS  INFRAESTRUCTURA  PARA ENC. DE PROY</t>
  </si>
  <si>
    <t>1° FASE ESTIMADA  PARA  CONSTRUCCION CEMENTERIO ISTAGUA</t>
  </si>
  <si>
    <t>COMPLEMENTO PARA  REALIZACION DE PROY.Y PAGO DE DEUDAS  QUE  VIENE  DEL AÑO 2020</t>
  </si>
  <si>
    <t>DIFERENCIA  PARA  REALIZAR  LOS  PROYECTOS DE INFRAESTRUCTURA Y OTROS 2021</t>
  </si>
  <si>
    <t>SALDO DISPONIBLE</t>
  </si>
  <si>
    <t>dsto preliminar</t>
  </si>
  <si>
    <t>def</t>
  </si>
  <si>
    <t xml:space="preserve">2% PAV DE 1 KM CON MEZLA ASFALTICA EN CALLE EL RODEO SPP </t>
  </si>
  <si>
    <t xml:space="preserve">2% PAV DE 2.373 KM CON MEZCLA ASFALTICA EN CANTON HUIZILTEPEQUE-MIRAFLORES </t>
  </si>
  <si>
    <t xml:space="preserve">CUENTA BOLSON INSTITUCIONAL </t>
  </si>
  <si>
    <t xml:space="preserve">MATERIALES E INSTRUM. DE LAB. Y USO MEDICO </t>
  </si>
  <si>
    <t xml:space="preserve">PROGRAMA SAN PEDRO SALUDABLE/FONDOS GOES 2020 EMERGENCIA COVID -19 1 TRANSFERENCIA </t>
  </si>
  <si>
    <t>PROGRAMA DE ATENCION A LA EMERGENCIA PROVOCADA POR TORMENTA CRISTOBAL SPP</t>
  </si>
  <si>
    <t xml:space="preserve">PROGRAMA DE ATENCION A LA EMERGENCIA PROVOCADA POR TORMENTA AMANDA SPP </t>
  </si>
  <si>
    <t xml:space="preserve">TOTAL 1 TRANSFERENCIA </t>
  </si>
  <si>
    <t xml:space="preserve">PROGRAMA SAN PEDRO SALUDABLE/FONDOS GOES 2020 EMERGENCIA COVID -19- 2 TRANSFERENCIA </t>
  </si>
  <si>
    <t xml:space="preserve">TOTAL 2 TRANSFERENCIA </t>
  </si>
  <si>
    <t xml:space="preserve">TOTAL 14 PROYECTOS </t>
  </si>
  <si>
    <t xml:space="preserve">TOTAL 11 PROYECTOS </t>
  </si>
  <si>
    <t>PROGRAMA DE FOMENTO Y DIGNIFICACION  A FAMILIAS DE ESCASOS RECURSOS QUE PRESENTEN  VULNERABILIDAD EN SUS VIVIENDAS ANTE EL CAMBIO CLIMATICO Y DESASTRES NATURALES  EN EL MUNICIPIO SPP 2021</t>
  </si>
  <si>
    <t>PROGRAMA PARA LA CONMEMORACION HISTORICO CULTURAL DE LA BATALLA DEL GENERAL FRANCISCO MORAZAN, COMO PARTE DE LA IDENTIDAD DEL MUNICIPIO SPP 25 DE SEPTIEMBRE 2021</t>
  </si>
  <si>
    <t>PROGRAMA DE FOMENTO E IMPULSO A LA EDUCACION CON APOYO A INVERSION EN OBRAS BASICAS  DE INFRAESTRUCTURA Y OTRAS NECESIDADES QUE CONTRIBUYAN AL APRENDIZAJE EN CENTROS ESCOLARES DEL MUNICIPIO SPP 2021</t>
  </si>
  <si>
    <t>PROGRAMA DE APOYO AL DESARROLLO DE LAS ESCUELAS DE MUSICA (VARIOS INSTRUMENTOS) Y LA SINFONICA EN EL CASCO URBANO Y LOS CANTONES DEL MUNICIPIO SPP 2021</t>
  </si>
  <si>
    <t>PROYECTOS 2020 A EJECUTARSE EN 2021</t>
  </si>
  <si>
    <t>PROYECTOS CON DEUDA 2020</t>
  </si>
  <si>
    <t>PRESUPUESTO MUNICIPAL DE EGRESOS 2021</t>
  </si>
  <si>
    <t xml:space="preserve">PREINVERSION </t>
  </si>
  <si>
    <t xml:space="preserve">CUENTA PREINVERSION </t>
  </si>
  <si>
    <t>CUENTA SUPERVISION</t>
  </si>
  <si>
    <t>SUPERVISION</t>
  </si>
  <si>
    <t xml:space="preserve">MONTO TOTAL </t>
  </si>
  <si>
    <t xml:space="preserve">TOTAL PROYECTO SOCIALES </t>
  </si>
  <si>
    <t xml:space="preserve">1-FASE  DE  PROY. DE CONST. DE CEMENTERIO EN  CANTON  ISTAGUA </t>
  </si>
  <si>
    <t>DEUDA PENDIENTE DE PREINVERSION /20</t>
  </si>
  <si>
    <t>DEUDA PENDIENTE  DE SUPERVISION/20</t>
  </si>
  <si>
    <t>RED  VIAL 2020</t>
  </si>
  <si>
    <t>TOTALES GENERAL</t>
  </si>
  <si>
    <t>TOTAL PROY/20</t>
  </si>
  <si>
    <t>TOTAL DE  TRANSFERENCIAS GOES</t>
  </si>
  <si>
    <t xml:space="preserve">PAV DE 150 ML CON CONCRETO HIDRAULICO EN CANTON SAN FRANCISCO SECTOR LAS PEÑITAS CANTON SAN FRANCISCO </t>
  </si>
  <si>
    <t xml:space="preserve">   </t>
  </si>
  <si>
    <t>CUENTA BOLSON  DE PROYECTOS DE INFRAESTRUCTURA( viales)</t>
  </si>
  <si>
    <t>COMPLEMENTO DE  LA ASIGNACION 2021 PARA EL PAGO  DE  DEUDA DE PROY. 2020, QUE  EN SU MOMENTO SON POR EL VALOR DE $211,185.09</t>
  </si>
  <si>
    <t>PROYECTO DE INFRAESTRUCTURA  QUE SE DIO  AL  ENC.DE PROY.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</si>
</sst>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 [$$-300A]\ * #,##0.00_ ;_ [$$-300A]\ * \-#,##0.00_ ;_ [$$-300A]\ * &quot;-&quot;??_ ;_ @_ "/>
    <numFmt numFmtId="167" formatCode="_-[$€-2]* #,##0.00_-;\-[$€-2]* #,##0.00_-;_-[$€-2]* &quot;-&quot;??_-"/>
    <numFmt numFmtId="168" formatCode="_([$$-440A]* #,##0.00_);_([$$-440A]* \(#,##0.00\);_([$$-440A]* &quot;-&quot;??_);_(@_)"/>
    <numFmt numFmtId="169" formatCode="_-[$$-300A]\ * #,##0.00_ ;_-[$$-300A]\ * \-#,##0.00\ ;_-[$$-300A]\ * &quot;-&quot;??_ ;_-@_ "/>
    <numFmt numFmtId="170" formatCode="_-[$$-440A]* #,##0.00_ ;_-[$$-440A]* \-#,##0.00\ ;_-[$$-440A]* &quot;-&quot;??_ ;_-@_ "/>
    <numFmt numFmtId="171" formatCode="&quot;$&quot;#,##0.00"/>
    <numFmt numFmtId="172" formatCode="_-[$$-440A]* #,##0.00_-;\-[$$-440A]* #,##0.00_-;_-[$$-440A]* &quot;-&quot;??_-;_-@_-"/>
    <numFmt numFmtId="173" formatCode="_([$$-300A]\ * #,##0.00_);_([$$-300A]\ * \(#,##0.00\);_([$$-300A]\ * &quot;-&quot;??_);_(@_)"/>
    <numFmt numFmtId="174" formatCode="_-[$$-80A]* #,##0.00_-;\-[$$-80A]* #,##0.00_-;_-[$$-80A]* &quot;-&quot;??_-;_-@_-"/>
    <numFmt numFmtId="175" formatCode="_ [$$-300A]* #,##0.00_ ;_ [$$-300A]* \-#,##0.00_ ;_ [$$-300A]* &quot;-&quot;??_ ;_ @_ "/>
    <numFmt numFmtId="176" formatCode="&quot;$&quot;#,##0.00_);\(&quot;$&quot;#,##0.00\)"/>
    <numFmt numFmtId="177" formatCode="&quot;$&quot;#,##0.0000_);\(&quot;$&quot;#,##0.0000\)"/>
    <numFmt numFmtId="178" formatCode="&quot;$&quot;#,##0.000000000_);\(&quot;$&quot;#,##0.000000000\)"/>
    <numFmt numFmtId="179" formatCode="_(* #,##0.000000000_);_(* \(#,##0.000000000\);_(* &quot;-&quot;??_);_(@_)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 val="singleAccounting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doubleAccounting"/>
      <sz val="10"/>
      <name val="Arial"/>
      <family val="2"/>
    </font>
    <font>
      <u val="singleAccounting"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rgb="FF0070C0"/>
      <name val="Arial"/>
      <family val="2"/>
    </font>
    <font>
      <b/>
      <sz val="8"/>
      <name val="Arial"/>
      <family val="2"/>
    </font>
    <font>
      <sz val="10"/>
      <color rgb="FF0070C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gray125">
        <bgColor indexed="9"/>
      </patternFill>
    </fill>
    <fill>
      <patternFill patternType="solid">
        <fgColor theme="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fgColor indexed="22"/>
        <bgColor theme="6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gray125">
        <fgColor indexed="2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8" tint="0.79998168889431442"/>
      </patternFill>
    </fill>
    <fill>
      <patternFill patternType="lightTrellis">
        <fgColor indexed="22"/>
        <bgColor theme="8" tint="0.79998168889431442"/>
      </patternFill>
    </fill>
    <fill>
      <patternFill patternType="gray125">
        <fgColor indexed="22"/>
        <bgColor theme="8" tint="0.79998168889431442"/>
      </patternFill>
    </fill>
    <fill>
      <patternFill patternType="lightTrellis">
        <fgColor indexed="2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29" fillId="5" borderId="0" applyNumberFormat="0" applyBorder="0" applyAlignment="0" applyProtection="0"/>
    <xf numFmtId="167" fontId="1" fillId="0" borderId="0" applyFont="0" applyFill="0" applyBorder="0" applyAlignment="0" applyProtection="0"/>
    <xf numFmtId="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3" fillId="0" borderId="0"/>
    <xf numFmtId="9" fontId="22" fillId="0" borderId="0" applyFont="0" applyFill="0" applyBorder="0" applyAlignment="0" applyProtection="0"/>
  </cellStyleXfs>
  <cellXfs count="800">
    <xf numFmtId="0" fontId="0" fillId="0" borderId="0" xfId="0"/>
    <xf numFmtId="49" fontId="5" fillId="2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8" fillId="0" borderId="0" xfId="0" applyFont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164" fontId="5" fillId="2" borderId="2" xfId="4" applyNumberFormat="1" applyFont="1" applyFill="1" applyBorder="1" applyAlignment="1">
      <alignment horizontal="right"/>
    </xf>
    <xf numFmtId="166" fontId="5" fillId="2" borderId="9" xfId="4" applyNumberFormat="1" applyFont="1" applyFill="1" applyBorder="1" applyAlignment="1">
      <alignment horizontal="right"/>
    </xf>
    <xf numFmtId="166" fontId="5" fillId="2" borderId="2" xfId="4" applyNumberFormat="1" applyFont="1" applyFill="1" applyBorder="1" applyAlignment="1">
      <alignment horizontal="right"/>
    </xf>
    <xf numFmtId="49" fontId="5" fillId="2" borderId="11" xfId="0" applyNumberFormat="1" applyFont="1" applyFill="1" applyBorder="1" applyAlignment="1">
      <alignment horizontal="center"/>
    </xf>
    <xf numFmtId="166" fontId="5" fillId="2" borderId="3" xfId="4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center"/>
    </xf>
    <xf numFmtId="0" fontId="1" fillId="2" borderId="0" xfId="0" applyFont="1" applyFill="1"/>
    <xf numFmtId="0" fontId="9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2" borderId="9" xfId="4" applyFont="1" applyFill="1" applyBorder="1" applyAlignment="1">
      <alignment horizontal="center" vertical="center"/>
    </xf>
    <xf numFmtId="165" fontId="1" fillId="2" borderId="2" xfId="4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64" fontId="1" fillId="2" borderId="0" xfId="4" applyNumberFormat="1" applyFont="1" applyFill="1" applyBorder="1" applyAlignment="1">
      <alignment horizontal="right"/>
    </xf>
    <xf numFmtId="0" fontId="7" fillId="2" borderId="0" xfId="0" applyFont="1" applyFill="1"/>
    <xf numFmtId="0" fontId="9" fillId="0" borderId="0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9" fontId="10" fillId="0" borderId="0" xfId="0" applyNumberFormat="1" applyFont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/>
    </xf>
    <xf numFmtId="168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11" fillId="0" borderId="1" xfId="4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center"/>
    </xf>
    <xf numFmtId="49" fontId="5" fillId="2" borderId="16" xfId="0" applyNumberFormat="1" applyFont="1" applyFill="1" applyBorder="1" applyAlignment="1">
      <alignment horizontal="center"/>
    </xf>
    <xf numFmtId="49" fontId="5" fillId="2" borderId="17" xfId="0" applyNumberFormat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 vertical="center" textRotation="90" wrapText="1"/>
    </xf>
    <xf numFmtId="0" fontId="12" fillId="6" borderId="19" xfId="1" applyFont="1" applyFill="1" applyBorder="1" applyAlignment="1">
      <alignment horizontal="center" vertical="center" textRotation="90" wrapText="1"/>
    </xf>
    <xf numFmtId="0" fontId="12" fillId="6" borderId="20" xfId="1" applyFont="1" applyFill="1" applyBorder="1" applyAlignment="1">
      <alignment horizontal="center" vertical="center" textRotation="90" wrapText="1"/>
    </xf>
    <xf numFmtId="0" fontId="12" fillId="6" borderId="21" xfId="1" applyFont="1" applyFill="1" applyBorder="1" applyAlignment="1">
      <alignment horizontal="center" vertical="center" textRotation="90" wrapText="1"/>
    </xf>
    <xf numFmtId="0" fontId="10" fillId="6" borderId="22" xfId="1" applyFont="1" applyFill="1" applyBorder="1" applyAlignment="1">
      <alignment horizontal="center"/>
    </xf>
    <xf numFmtId="166" fontId="10" fillId="6" borderId="23" xfId="1" applyNumberFormat="1" applyFont="1" applyFill="1" applyBorder="1" applyAlignment="1">
      <alignment horizontal="center"/>
    </xf>
    <xf numFmtId="168" fontId="1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8" fontId="1" fillId="0" borderId="0" xfId="0" applyNumberFormat="1" applyFont="1" applyAlignment="1">
      <alignment vertical="center" wrapText="1"/>
    </xf>
    <xf numFmtId="165" fontId="14" fillId="2" borderId="0" xfId="0" applyNumberFormat="1" applyFont="1" applyFill="1" applyAlignment="1">
      <alignment vertical="center"/>
    </xf>
    <xf numFmtId="0" fontId="1" fillId="2" borderId="9" xfId="0" applyFont="1" applyFill="1" applyBorder="1" applyAlignment="1">
      <alignment horizontal="left" vertical="center" wrapText="1"/>
    </xf>
    <xf numFmtId="166" fontId="1" fillId="0" borderId="0" xfId="0" applyNumberFormat="1" applyFont="1"/>
    <xf numFmtId="168" fontId="1" fillId="0" borderId="0" xfId="0" applyNumberFormat="1" applyFont="1" applyFill="1"/>
    <xf numFmtId="169" fontId="1" fillId="0" borderId="0" xfId="0" applyNumberFormat="1" applyFont="1"/>
    <xf numFmtId="169" fontId="9" fillId="2" borderId="0" xfId="0" applyNumberFormat="1" applyFont="1" applyFill="1"/>
    <xf numFmtId="0" fontId="19" fillId="6" borderId="22" xfId="1" applyFont="1" applyFill="1" applyBorder="1" applyAlignment="1">
      <alignment horizontal="center"/>
    </xf>
    <xf numFmtId="166" fontId="19" fillId="6" borderId="23" xfId="1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44" fontId="9" fillId="0" borderId="24" xfId="4" applyNumberFormat="1" applyFont="1" applyFill="1" applyBorder="1" applyAlignment="1">
      <alignment horizontal="center" vertical="center"/>
    </xf>
    <xf numFmtId="164" fontId="11" fillId="0" borderId="13" xfId="4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170" fontId="1" fillId="0" borderId="8" xfId="0" applyNumberFormat="1" applyFont="1" applyBorder="1" applyAlignment="1">
      <alignment horizontal="center" vertical="center"/>
    </xf>
    <xf numFmtId="44" fontId="21" fillId="7" borderId="23" xfId="4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/>
    </xf>
    <xf numFmtId="165" fontId="1" fillId="2" borderId="9" xfId="4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5" fontId="1" fillId="2" borderId="2" xfId="4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5" fontId="9" fillId="2" borderId="9" xfId="4" applyFont="1" applyFill="1" applyBorder="1" applyAlignment="1">
      <alignment horizontal="left" vertical="center"/>
    </xf>
    <xf numFmtId="165" fontId="9" fillId="2" borderId="9" xfId="4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/>
    </xf>
    <xf numFmtId="44" fontId="21" fillId="8" borderId="0" xfId="4" applyNumberFormat="1" applyFont="1" applyFill="1" applyBorder="1" applyAlignment="1">
      <alignment horizontal="center" vertical="center"/>
    </xf>
    <xf numFmtId="165" fontId="1" fillId="8" borderId="9" xfId="4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horizontal="left" vertical="center"/>
    </xf>
    <xf numFmtId="49" fontId="7" fillId="0" borderId="27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28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164" fontId="11" fillId="0" borderId="15" xfId="4" applyNumberFormat="1" applyFont="1" applyBorder="1" applyAlignment="1">
      <alignment horizontal="center" vertical="center"/>
    </xf>
    <xf numFmtId="0" fontId="11" fillId="0" borderId="8" xfId="0" quotePrefix="1" applyFont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9" borderId="13" xfId="0" applyFont="1" applyFill="1" applyBorder="1" applyAlignment="1">
      <alignment horizontal="left" vertical="center"/>
    </xf>
    <xf numFmtId="0" fontId="11" fillId="9" borderId="15" xfId="0" applyFont="1" applyFill="1" applyBorder="1" applyAlignment="1">
      <alignment horizontal="left" vertical="center"/>
    </xf>
    <xf numFmtId="170" fontId="1" fillId="9" borderId="8" xfId="0" applyNumberFormat="1" applyFont="1" applyFill="1" applyBorder="1" applyAlignment="1">
      <alignment horizontal="center" vertical="center"/>
    </xf>
    <xf numFmtId="164" fontId="11" fillId="9" borderId="1" xfId="4" applyNumberFormat="1" applyFont="1" applyFill="1" applyBorder="1" applyAlignment="1">
      <alignment horizontal="center" vertical="center"/>
    </xf>
    <xf numFmtId="164" fontId="11" fillId="9" borderId="13" xfId="4" applyNumberFormat="1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49" fontId="1" fillId="9" borderId="8" xfId="0" applyNumberFormat="1" applyFont="1" applyFill="1" applyBorder="1" applyAlignment="1">
      <alignment horizontal="center" vertical="center"/>
    </xf>
    <xf numFmtId="9" fontId="9" fillId="7" borderId="2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7" borderId="29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49" fontId="1" fillId="8" borderId="8" xfId="0" applyNumberFormat="1" applyFont="1" applyFill="1" applyBorder="1" applyAlignment="1">
      <alignment horizontal="center" vertical="center"/>
    </xf>
    <xf numFmtId="170" fontId="1" fillId="8" borderId="8" xfId="0" applyNumberFormat="1" applyFont="1" applyFill="1" applyBorder="1" applyAlignment="1">
      <alignment horizontal="center" vertical="center"/>
    </xf>
    <xf numFmtId="164" fontId="1" fillId="8" borderId="13" xfId="4" applyNumberFormat="1" applyFont="1" applyFill="1" applyBorder="1" applyAlignment="1">
      <alignment horizontal="center" vertical="center"/>
    </xf>
    <xf numFmtId="164" fontId="1" fillId="8" borderId="1" xfId="4" applyNumberFormat="1" applyFont="1" applyFill="1" applyBorder="1" applyAlignment="1">
      <alignment horizontal="center" vertical="center"/>
    </xf>
    <xf numFmtId="164" fontId="1" fillId="9" borderId="13" xfId="4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49" fontId="1" fillId="7" borderId="8" xfId="0" applyNumberFormat="1" applyFont="1" applyFill="1" applyBorder="1" applyAlignment="1">
      <alignment horizontal="center" vertical="center"/>
    </xf>
    <xf numFmtId="170" fontId="9" fillId="7" borderId="8" xfId="0" applyNumberFormat="1" applyFont="1" applyFill="1" applyBorder="1" applyAlignment="1">
      <alignment horizontal="center" vertical="center"/>
    </xf>
    <xf numFmtId="170" fontId="9" fillId="8" borderId="8" xfId="0" applyNumberFormat="1" applyFont="1" applyFill="1" applyBorder="1" applyAlignment="1">
      <alignment horizontal="center" vertical="center"/>
    </xf>
    <xf numFmtId="170" fontId="9" fillId="8" borderId="15" xfId="0" applyNumberFormat="1" applyFont="1" applyFill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164" fontId="1" fillId="9" borderId="1" xfId="4" applyNumberFormat="1" applyFont="1" applyFill="1" applyBorder="1" applyAlignment="1">
      <alignment horizontal="center" vertical="center"/>
    </xf>
    <xf numFmtId="164" fontId="1" fillId="0" borderId="13" xfId="4" applyNumberFormat="1" applyFont="1" applyBorder="1" applyAlignment="1">
      <alignment horizontal="center" vertical="center"/>
    </xf>
    <xf numFmtId="164" fontId="1" fillId="0" borderId="15" xfId="4" applyNumberFormat="1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left" vertical="center"/>
    </xf>
    <xf numFmtId="170" fontId="9" fillId="7" borderId="1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71" fontId="1" fillId="0" borderId="0" xfId="0" applyNumberFormat="1" applyFont="1" applyAlignment="1">
      <alignment horizontal="center" vertical="center"/>
    </xf>
    <xf numFmtId="171" fontId="9" fillId="9" borderId="0" xfId="0" applyNumberFormat="1" applyFont="1" applyFill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66" fontId="5" fillId="8" borderId="2" xfId="4" applyNumberFormat="1" applyFont="1" applyFill="1" applyBorder="1" applyAlignment="1">
      <alignment horizontal="right"/>
    </xf>
    <xf numFmtId="0" fontId="9" fillId="8" borderId="27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171" fontId="1" fillId="10" borderId="0" xfId="0" applyNumberFormat="1" applyFont="1" applyFill="1" applyAlignment="1">
      <alignment horizontal="center" vertical="center"/>
    </xf>
    <xf numFmtId="165" fontId="23" fillId="0" borderId="0" xfId="4" applyFont="1" applyAlignment="1">
      <alignment horizontal="center" vertical="center"/>
    </xf>
    <xf numFmtId="165" fontId="2" fillId="0" borderId="0" xfId="4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70" fontId="30" fillId="8" borderId="8" xfId="0" applyNumberFormat="1" applyFont="1" applyFill="1" applyBorder="1" applyAlignment="1">
      <alignment horizontal="center" vertical="center"/>
    </xf>
    <xf numFmtId="0" fontId="31" fillId="8" borderId="26" xfId="0" applyFont="1" applyFill="1" applyBorder="1" applyAlignment="1">
      <alignment horizontal="center" vertical="center" wrapText="1"/>
    </xf>
    <xf numFmtId="164" fontId="30" fillId="8" borderId="13" xfId="4" applyNumberFormat="1" applyFont="1" applyFill="1" applyBorder="1" applyAlignment="1">
      <alignment horizontal="center" vertical="center"/>
    </xf>
    <xf numFmtId="165" fontId="1" fillId="0" borderId="0" xfId="4" applyFont="1"/>
    <xf numFmtId="164" fontId="1" fillId="0" borderId="0" xfId="0" applyNumberFormat="1" applyFont="1"/>
    <xf numFmtId="0" fontId="32" fillId="0" borderId="30" xfId="0" applyFont="1" applyBorder="1" applyAlignment="1">
      <alignment vertical="center"/>
    </xf>
    <xf numFmtId="0" fontId="33" fillId="0" borderId="30" xfId="0" applyFont="1" applyBorder="1" applyAlignment="1">
      <alignment vertical="center"/>
    </xf>
    <xf numFmtId="165" fontId="1" fillId="11" borderId="0" xfId="4" applyFont="1" applyFill="1"/>
    <xf numFmtId="165" fontId="1" fillId="0" borderId="0" xfId="4" applyFont="1" applyFill="1"/>
    <xf numFmtId="165" fontId="30" fillId="0" borderId="0" xfId="4" applyFont="1"/>
    <xf numFmtId="0" fontId="5" fillId="12" borderId="6" xfId="0" applyFont="1" applyFill="1" applyBorder="1" applyAlignment="1">
      <alignment horizontal="center"/>
    </xf>
    <xf numFmtId="49" fontId="5" fillId="12" borderId="1" xfId="0" applyNumberFormat="1" applyFont="1" applyFill="1" applyBorder="1" applyAlignment="1">
      <alignment horizontal="center"/>
    </xf>
    <xf numFmtId="49" fontId="5" fillId="12" borderId="8" xfId="0" applyNumberFormat="1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left"/>
    </xf>
    <xf numFmtId="168" fontId="8" fillId="0" borderId="0" xfId="0" applyNumberFormat="1" applyFont="1" applyAlignment="1">
      <alignment horizontal="center"/>
    </xf>
    <xf numFmtId="168" fontId="1" fillId="0" borderId="0" xfId="0" applyNumberFormat="1" applyFont="1"/>
    <xf numFmtId="173" fontId="7" fillId="2" borderId="0" xfId="0" applyNumberFormat="1" applyFont="1" applyFill="1"/>
    <xf numFmtId="173" fontId="9" fillId="2" borderId="0" xfId="0" applyNumberFormat="1" applyFont="1" applyFill="1"/>
    <xf numFmtId="0" fontId="9" fillId="13" borderId="31" xfId="0" applyFont="1" applyFill="1" applyBorder="1" applyAlignment="1">
      <alignment horizontal="center" vertical="center" textRotation="90" wrapText="1"/>
    </xf>
    <xf numFmtId="0" fontId="9" fillId="13" borderId="23" xfId="0" applyFont="1" applyFill="1" applyBorder="1" applyAlignment="1">
      <alignment horizontal="center" vertical="center" textRotation="90" wrapText="1"/>
    </xf>
    <xf numFmtId="0" fontId="9" fillId="13" borderId="22" xfId="0" applyFont="1" applyFill="1" applyBorder="1" applyAlignment="1">
      <alignment horizontal="center" vertical="center" textRotation="90" wrapText="1"/>
    </xf>
    <xf numFmtId="44" fontId="1" fillId="0" borderId="0" xfId="0" applyNumberFormat="1" applyFont="1" applyAlignment="1">
      <alignment vertical="center"/>
    </xf>
    <xf numFmtId="44" fontId="1" fillId="2" borderId="0" xfId="0" applyNumberFormat="1" applyFont="1" applyFill="1" applyAlignment="1">
      <alignment vertical="center"/>
    </xf>
    <xf numFmtId="44" fontId="7" fillId="0" borderId="0" xfId="0" applyNumberFormat="1" applyFont="1" applyAlignment="1">
      <alignment vertical="center"/>
    </xf>
    <xf numFmtId="0" fontId="1" fillId="0" borderId="9" xfId="0" applyFont="1" applyFill="1" applyBorder="1" applyAlignment="1">
      <alignment horizontal="left" vertical="center" wrapText="1"/>
    </xf>
    <xf numFmtId="165" fontId="9" fillId="14" borderId="9" xfId="4" applyFont="1" applyFill="1" applyBorder="1" applyAlignment="1">
      <alignment horizontal="left" vertical="center"/>
    </xf>
    <xf numFmtId="0" fontId="9" fillId="14" borderId="3" xfId="0" applyNumberFormat="1" applyFont="1" applyFill="1" applyBorder="1" applyAlignment="1">
      <alignment horizontal="left" vertical="center"/>
    </xf>
    <xf numFmtId="0" fontId="9" fillId="14" borderId="3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165" fontId="1" fillId="0" borderId="9" xfId="4" applyFont="1" applyFill="1" applyBorder="1" applyAlignment="1">
      <alignment horizontal="left" vertical="center"/>
    </xf>
    <xf numFmtId="165" fontId="1" fillId="15" borderId="9" xfId="4" applyFont="1" applyFill="1" applyBorder="1" applyAlignment="1">
      <alignment horizontal="left" vertical="center"/>
    </xf>
    <xf numFmtId="165" fontId="1" fillId="0" borderId="0" xfId="4" applyFont="1" applyAlignment="1">
      <alignment vertical="center"/>
    </xf>
    <xf numFmtId="0" fontId="1" fillId="16" borderId="0" xfId="0" applyFont="1" applyFill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49" fontId="5" fillId="2" borderId="28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4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44" fontId="9" fillId="0" borderId="0" xfId="0" applyNumberFormat="1" applyFont="1" applyAlignment="1">
      <alignment vertical="center"/>
    </xf>
    <xf numFmtId="174" fontId="9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horizontal="center" vertical="center" wrapText="1"/>
    </xf>
    <xf numFmtId="165" fontId="1" fillId="9" borderId="0" xfId="4" applyFont="1" applyFill="1"/>
    <xf numFmtId="165" fontId="8" fillId="0" borderId="0" xfId="4" applyFont="1" applyAlignment="1">
      <alignment horizontal="center"/>
    </xf>
    <xf numFmtId="44" fontId="1" fillId="9" borderId="0" xfId="0" applyNumberFormat="1" applyFont="1" applyFill="1"/>
    <xf numFmtId="166" fontId="5" fillId="0" borderId="9" xfId="4" applyNumberFormat="1" applyFont="1" applyFill="1" applyBorder="1" applyAlignment="1">
      <alignment horizontal="right"/>
    </xf>
    <xf numFmtId="166" fontId="34" fillId="0" borderId="9" xfId="4" applyNumberFormat="1" applyFont="1" applyFill="1" applyBorder="1" applyAlignment="1">
      <alignment horizontal="right"/>
    </xf>
    <xf numFmtId="166" fontId="5" fillId="0" borderId="2" xfId="4" applyNumberFormat="1" applyFont="1" applyFill="1" applyBorder="1" applyAlignment="1">
      <alignment horizontal="right"/>
    </xf>
    <xf numFmtId="164" fontId="5" fillId="0" borderId="2" xfId="4" applyNumberFormat="1" applyFont="1" applyFill="1" applyBorder="1" applyAlignment="1">
      <alignment horizontal="right"/>
    </xf>
    <xf numFmtId="166" fontId="5" fillId="0" borderId="3" xfId="4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23" fillId="0" borderId="1" xfId="4" applyFont="1" applyBorder="1" applyAlignment="1">
      <alignment vertical="center"/>
    </xf>
    <xf numFmtId="165" fontId="24" fillId="0" borderId="33" xfId="4" applyFont="1" applyBorder="1" applyAlignment="1">
      <alignment horizontal="center" vertical="center"/>
    </xf>
    <xf numFmtId="2" fontId="0" fillId="0" borderId="0" xfId="0" applyNumberFormat="1"/>
    <xf numFmtId="172" fontId="0" fillId="0" borderId="0" xfId="0" applyNumberFormat="1"/>
    <xf numFmtId="175" fontId="1" fillId="0" borderId="0" xfId="0" applyNumberFormat="1" applyFont="1"/>
    <xf numFmtId="49" fontId="7" fillId="0" borderId="27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left"/>
    </xf>
    <xf numFmtId="166" fontId="35" fillId="2" borderId="2" xfId="4" applyNumberFormat="1" applyFont="1" applyFill="1" applyBorder="1" applyAlignment="1">
      <alignment horizontal="right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25" xfId="0" quotePrefix="1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65" fontId="36" fillId="8" borderId="9" xfId="4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 wrapText="1"/>
    </xf>
    <xf numFmtId="0" fontId="1" fillId="8" borderId="3" xfId="0" applyNumberFormat="1" applyFont="1" applyFill="1" applyBorder="1" applyAlignment="1">
      <alignment horizontal="left" vertical="center"/>
    </xf>
    <xf numFmtId="165" fontId="37" fillId="2" borderId="9" xfId="4" applyFont="1" applyFill="1" applyBorder="1" applyAlignment="1">
      <alignment horizontal="left" vertical="center"/>
    </xf>
    <xf numFmtId="44" fontId="37" fillId="2" borderId="9" xfId="4" applyNumberFormat="1" applyFont="1" applyFill="1" applyBorder="1" applyAlignment="1">
      <alignment horizontal="left" vertical="center"/>
    </xf>
    <xf numFmtId="0" fontId="35" fillId="2" borderId="10" xfId="0" applyFont="1" applyFill="1" applyBorder="1" applyAlignment="1">
      <alignment horizontal="left"/>
    </xf>
    <xf numFmtId="166" fontId="35" fillId="0" borderId="9" xfId="4" applyNumberFormat="1" applyFont="1" applyFill="1" applyBorder="1" applyAlignment="1">
      <alignment horizontal="right"/>
    </xf>
    <xf numFmtId="49" fontId="5" fillId="8" borderId="9" xfId="0" applyNumberFormat="1" applyFont="1" applyFill="1" applyBorder="1" applyAlignment="1">
      <alignment horizontal="center"/>
    </xf>
    <xf numFmtId="0" fontId="5" fillId="8" borderId="10" xfId="0" applyFont="1" applyFill="1" applyBorder="1" applyAlignment="1">
      <alignment horizontal="left"/>
    </xf>
    <xf numFmtId="0" fontId="5" fillId="8" borderId="7" xfId="0" applyFont="1" applyFill="1" applyBorder="1" applyAlignment="1">
      <alignment horizontal="center"/>
    </xf>
    <xf numFmtId="49" fontId="5" fillId="8" borderId="8" xfId="0" applyNumberFormat="1" applyFont="1" applyFill="1" applyBorder="1" applyAlignment="1">
      <alignment horizontal="center"/>
    </xf>
    <xf numFmtId="49" fontId="5" fillId="2" borderId="28" xfId="0" applyNumberFormat="1" applyFont="1" applyFill="1" applyBorder="1" applyAlignment="1">
      <alignment horizontal="center" vertical="center"/>
    </xf>
    <xf numFmtId="166" fontId="5" fillId="0" borderId="3" xfId="4" applyNumberFormat="1" applyFont="1" applyFill="1" applyBorder="1" applyAlignment="1">
      <alignment horizontal="right" vertical="center"/>
    </xf>
    <xf numFmtId="49" fontId="5" fillId="2" borderId="2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68" fontId="1" fillId="0" borderId="4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8" fontId="1" fillId="0" borderId="24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8" fontId="1" fillId="0" borderId="42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8" fontId="1" fillId="0" borderId="26" xfId="0" applyNumberFormat="1" applyFont="1" applyBorder="1" applyAlignment="1">
      <alignment vertical="center" wrapText="1"/>
    </xf>
    <xf numFmtId="0" fontId="24" fillId="17" borderId="23" xfId="0" applyFont="1" applyFill="1" applyBorder="1" applyAlignment="1">
      <alignment horizontal="center" vertical="center" wrapText="1"/>
    </xf>
    <xf numFmtId="0" fontId="9" fillId="17" borderId="31" xfId="0" applyFont="1" applyFill="1" applyBorder="1" applyAlignment="1">
      <alignment horizontal="center" vertical="center" textRotation="90" wrapText="1"/>
    </xf>
    <xf numFmtId="0" fontId="9" fillId="17" borderId="23" xfId="0" applyFont="1" applyFill="1" applyBorder="1" applyAlignment="1">
      <alignment horizontal="center" vertical="center" textRotation="90" wrapText="1"/>
    </xf>
    <xf numFmtId="0" fontId="9" fillId="17" borderId="22" xfId="0" applyFont="1" applyFill="1" applyBorder="1" applyAlignment="1">
      <alignment horizontal="center" vertical="center" textRotation="90" wrapText="1"/>
    </xf>
    <xf numFmtId="0" fontId="9" fillId="13" borderId="23" xfId="0" applyFont="1" applyFill="1" applyBorder="1" applyAlignment="1">
      <alignment horizontal="center" vertical="center" wrapText="1"/>
    </xf>
    <xf numFmtId="165" fontId="9" fillId="18" borderId="9" xfId="4" applyFont="1" applyFill="1" applyBorder="1" applyAlignment="1">
      <alignment horizontal="center" vertical="center"/>
    </xf>
    <xf numFmtId="165" fontId="9" fillId="19" borderId="9" xfId="4" applyFont="1" applyFill="1" applyBorder="1" applyAlignment="1">
      <alignment horizontal="center" vertical="center"/>
    </xf>
    <xf numFmtId="0" fontId="9" fillId="20" borderId="9" xfId="0" applyNumberFormat="1" applyFont="1" applyFill="1" applyBorder="1" applyAlignment="1">
      <alignment horizontal="left" vertical="center" wrapText="1"/>
    </xf>
    <xf numFmtId="0" fontId="9" fillId="20" borderId="9" xfId="0" applyFont="1" applyFill="1" applyBorder="1" applyAlignment="1">
      <alignment horizontal="justify" vertical="center" wrapText="1"/>
    </xf>
    <xf numFmtId="165" fontId="9" fillId="20" borderId="9" xfId="4" applyFont="1" applyFill="1" applyBorder="1" applyAlignment="1">
      <alignment horizontal="center" vertical="center"/>
    </xf>
    <xf numFmtId="0" fontId="9" fillId="20" borderId="2" xfId="0" applyNumberFormat="1" applyFont="1" applyFill="1" applyBorder="1" applyAlignment="1">
      <alignment horizontal="left" vertical="center"/>
    </xf>
    <xf numFmtId="0" fontId="9" fillId="20" borderId="2" xfId="0" applyFont="1" applyFill="1" applyBorder="1" applyAlignment="1">
      <alignment horizontal="left" vertical="center" wrapText="1"/>
    </xf>
    <xf numFmtId="165" fontId="9" fillId="20" borderId="9" xfId="4" applyFont="1" applyFill="1" applyBorder="1" applyAlignment="1">
      <alignment horizontal="left" vertical="center"/>
    </xf>
    <xf numFmtId="165" fontId="1" fillId="20" borderId="9" xfId="4" applyFont="1" applyFill="1" applyBorder="1" applyAlignment="1">
      <alignment horizontal="left" vertical="center"/>
    </xf>
    <xf numFmtId="165" fontId="1" fillId="20" borderId="9" xfId="4" applyFont="1" applyFill="1" applyBorder="1" applyAlignment="1">
      <alignment horizontal="center" vertical="center"/>
    </xf>
    <xf numFmtId="0" fontId="9" fillId="20" borderId="9" xfId="0" applyNumberFormat="1" applyFont="1" applyFill="1" applyBorder="1" applyAlignment="1">
      <alignment horizontal="left" vertical="center"/>
    </xf>
    <xf numFmtId="0" fontId="9" fillId="20" borderId="9" xfId="0" applyFont="1" applyFill="1" applyBorder="1" applyAlignment="1">
      <alignment horizontal="left" vertical="center" wrapText="1"/>
    </xf>
    <xf numFmtId="0" fontId="9" fillId="20" borderId="3" xfId="0" applyNumberFormat="1" applyFont="1" applyFill="1" applyBorder="1" applyAlignment="1">
      <alignment horizontal="left" vertical="center"/>
    </xf>
    <xf numFmtId="0" fontId="9" fillId="20" borderId="3" xfId="0" applyFont="1" applyFill="1" applyBorder="1" applyAlignment="1">
      <alignment horizontal="left" vertical="center" wrapText="1"/>
    </xf>
    <xf numFmtId="0" fontId="32" fillId="20" borderId="9" xfId="0" applyFont="1" applyFill="1" applyBorder="1" applyAlignment="1">
      <alignment vertical="center"/>
    </xf>
    <xf numFmtId="0" fontId="9" fillId="19" borderId="17" xfId="0" applyNumberFormat="1" applyFont="1" applyFill="1" applyBorder="1" applyAlignment="1">
      <alignment horizontal="left" vertical="center" wrapText="1"/>
    </xf>
    <xf numFmtId="0" fontId="9" fillId="19" borderId="17" xfId="0" applyFont="1" applyFill="1" applyBorder="1" applyAlignment="1">
      <alignment horizontal="justify" vertical="center" wrapText="1"/>
    </xf>
    <xf numFmtId="0" fontId="9" fillId="18" borderId="17" xfId="0" applyNumberFormat="1" applyFont="1" applyFill="1" applyBorder="1" applyAlignment="1">
      <alignment horizontal="left" vertical="center" wrapText="1"/>
    </xf>
    <xf numFmtId="0" fontId="9" fillId="18" borderId="17" xfId="0" applyFont="1" applyFill="1" applyBorder="1" applyAlignment="1">
      <alignment horizontal="justify" vertical="center" wrapText="1"/>
    </xf>
    <xf numFmtId="0" fontId="9" fillId="18" borderId="2" xfId="0" applyNumberFormat="1" applyFont="1" applyFill="1" applyBorder="1" applyAlignment="1">
      <alignment horizontal="left" vertical="center"/>
    </xf>
    <xf numFmtId="0" fontId="9" fillId="18" borderId="2" xfId="0" applyFont="1" applyFill="1" applyBorder="1" applyAlignment="1">
      <alignment horizontal="left" vertical="center" wrapText="1"/>
    </xf>
    <xf numFmtId="165" fontId="9" fillId="18" borderId="9" xfId="4" applyFont="1" applyFill="1" applyBorder="1" applyAlignment="1">
      <alignment horizontal="left" vertical="center"/>
    </xf>
    <xf numFmtId="0" fontId="9" fillId="18" borderId="3" xfId="0" applyNumberFormat="1" applyFont="1" applyFill="1" applyBorder="1" applyAlignment="1">
      <alignment horizontal="left" vertical="center"/>
    </xf>
    <xf numFmtId="0" fontId="9" fillId="18" borderId="3" xfId="0" applyFont="1" applyFill="1" applyBorder="1" applyAlignment="1">
      <alignment horizontal="left" vertical="center" wrapText="1"/>
    </xf>
    <xf numFmtId="0" fontId="32" fillId="18" borderId="2" xfId="0" applyFont="1" applyFill="1" applyBorder="1" applyAlignment="1">
      <alignment vertical="center"/>
    </xf>
    <xf numFmtId="0" fontId="9" fillId="12" borderId="18" xfId="1" applyFont="1" applyFill="1" applyBorder="1" applyAlignment="1">
      <alignment horizontal="center" vertical="center" textRotation="90" wrapText="1"/>
    </xf>
    <xf numFmtId="0" fontId="9" fillId="12" borderId="19" xfId="1" applyFont="1" applyFill="1" applyBorder="1" applyAlignment="1">
      <alignment horizontal="center" vertical="center" textRotation="90" wrapText="1"/>
    </xf>
    <xf numFmtId="0" fontId="9" fillId="12" borderId="43" xfId="1" applyFont="1" applyFill="1" applyBorder="1" applyAlignment="1">
      <alignment horizontal="center" vertical="center" textRotation="90" wrapText="1"/>
    </xf>
    <xf numFmtId="0" fontId="9" fillId="12" borderId="20" xfId="1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left" vertical="center"/>
    </xf>
    <xf numFmtId="0" fontId="12" fillId="12" borderId="18" xfId="1" applyFont="1" applyFill="1" applyBorder="1" applyAlignment="1">
      <alignment horizontal="center" vertical="center" textRotation="90" wrapText="1"/>
    </xf>
    <xf numFmtId="0" fontId="12" fillId="12" borderId="19" xfId="1" applyFont="1" applyFill="1" applyBorder="1" applyAlignment="1">
      <alignment horizontal="center" vertical="center" textRotation="90" wrapText="1"/>
    </xf>
    <xf numFmtId="0" fontId="12" fillId="12" borderId="21" xfId="1" applyFont="1" applyFill="1" applyBorder="1" applyAlignment="1">
      <alignment horizontal="center" vertical="center" textRotation="90" wrapText="1"/>
    </xf>
    <xf numFmtId="0" fontId="12" fillId="12" borderId="20" xfId="1" applyFont="1" applyFill="1" applyBorder="1" applyAlignment="1">
      <alignment horizontal="center" vertical="center" textRotation="90" wrapText="1"/>
    </xf>
    <xf numFmtId="0" fontId="10" fillId="18" borderId="22" xfId="1" applyFont="1" applyFill="1" applyBorder="1" applyAlignment="1">
      <alignment horizontal="center"/>
    </xf>
    <xf numFmtId="166" fontId="18" fillId="18" borderId="23" xfId="1" applyNumberFormat="1" applyFont="1" applyFill="1" applyBorder="1" applyAlignment="1">
      <alignment horizontal="center"/>
    </xf>
    <xf numFmtId="0" fontId="19" fillId="18" borderId="22" xfId="1" applyFont="1" applyFill="1" applyBorder="1" applyAlignment="1">
      <alignment horizontal="center" vertical="center"/>
    </xf>
    <xf numFmtId="166" fontId="19" fillId="18" borderId="23" xfId="1" applyNumberFormat="1" applyFont="1" applyFill="1" applyBorder="1" applyAlignment="1">
      <alignment horizontal="center" vertical="center"/>
    </xf>
    <xf numFmtId="0" fontId="19" fillId="18" borderId="22" xfId="1" applyFont="1" applyFill="1" applyBorder="1" applyAlignment="1">
      <alignment horizontal="center"/>
    </xf>
    <xf numFmtId="166" fontId="19" fillId="18" borderId="23" xfId="1" applyNumberFormat="1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 vertical="center" wrapText="1"/>
    </xf>
    <xf numFmtId="44" fontId="21" fillId="18" borderId="23" xfId="4" applyNumberFormat="1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 wrapText="1"/>
    </xf>
    <xf numFmtId="0" fontId="31" fillId="18" borderId="1" xfId="0" applyFont="1" applyFill="1" applyBorder="1" applyAlignment="1">
      <alignment horizontal="center" vertical="center" wrapText="1"/>
    </xf>
    <xf numFmtId="0" fontId="9" fillId="18" borderId="46" xfId="0" applyFont="1" applyFill="1" applyBorder="1" applyAlignment="1">
      <alignment horizontal="center" vertical="center" wrapText="1"/>
    </xf>
    <xf numFmtId="0" fontId="9" fillId="18" borderId="3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quotePrefix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44" fontId="28" fillId="0" borderId="23" xfId="4" applyNumberFormat="1" applyFont="1" applyFill="1" applyBorder="1" applyAlignment="1">
      <alignment horizontal="center" vertical="center"/>
    </xf>
    <xf numFmtId="170" fontId="1" fillId="0" borderId="5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4" fontId="11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1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71" fontId="9" fillId="0" borderId="0" xfId="0" applyNumberFormat="1" applyFont="1" applyFill="1" applyAlignment="1">
      <alignment horizontal="center" vertical="center"/>
    </xf>
    <xf numFmtId="165" fontId="1" fillId="0" borderId="8" xfId="4" applyFont="1" applyFill="1" applyBorder="1" applyAlignment="1">
      <alignment horizontal="center" vertical="center"/>
    </xf>
    <xf numFmtId="165" fontId="30" fillId="0" borderId="8" xfId="4" applyFont="1" applyFill="1" applyBorder="1" applyAlignment="1">
      <alignment horizontal="center" vertical="center"/>
    </xf>
    <xf numFmtId="165" fontId="1" fillId="0" borderId="15" xfId="4" applyFont="1" applyFill="1" applyBorder="1" applyAlignment="1">
      <alignment horizontal="center" vertical="center"/>
    </xf>
    <xf numFmtId="165" fontId="1" fillId="0" borderId="40" xfId="4" applyFont="1" applyFill="1" applyBorder="1" applyAlignment="1">
      <alignment horizontal="center" vertical="center"/>
    </xf>
    <xf numFmtId="165" fontId="1" fillId="0" borderId="13" xfId="4" applyFont="1" applyFill="1" applyBorder="1" applyAlignment="1">
      <alignment horizontal="center" vertical="center"/>
    </xf>
    <xf numFmtId="165" fontId="1" fillId="0" borderId="1" xfId="4" applyFont="1" applyFill="1" applyBorder="1" applyAlignment="1">
      <alignment horizontal="center" vertical="center"/>
    </xf>
    <xf numFmtId="165" fontId="1" fillId="0" borderId="24" xfId="4" applyFont="1" applyFill="1" applyBorder="1" applyAlignment="1">
      <alignment horizontal="center" vertical="center"/>
    </xf>
    <xf numFmtId="165" fontId="1" fillId="0" borderId="19" xfId="4" applyFont="1" applyFill="1" applyBorder="1" applyAlignment="1">
      <alignment horizontal="center" vertical="center"/>
    </xf>
    <xf numFmtId="165" fontId="1" fillId="0" borderId="20" xfId="4" applyFont="1" applyFill="1" applyBorder="1" applyAlignment="1">
      <alignment horizontal="center" vertical="center"/>
    </xf>
    <xf numFmtId="165" fontId="30" fillId="0" borderId="13" xfId="4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vertical="center"/>
    </xf>
    <xf numFmtId="172" fontId="0" fillId="0" borderId="46" xfId="0" applyNumberFormat="1" applyFill="1" applyBorder="1" applyAlignment="1">
      <alignment horizontal="center" vertical="center"/>
    </xf>
    <xf numFmtId="9" fontId="1" fillId="0" borderId="46" xfId="7" applyFont="1" applyFill="1" applyBorder="1" applyAlignment="1">
      <alignment horizontal="center" vertical="center"/>
    </xf>
    <xf numFmtId="172" fontId="0" fillId="0" borderId="47" xfId="0" applyNumberForma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2" fontId="0" fillId="0" borderId="1" xfId="0" applyNumberFormat="1" applyFill="1" applyBorder="1" applyAlignment="1">
      <alignment horizontal="center" vertical="center"/>
    </xf>
    <xf numFmtId="9" fontId="1" fillId="0" borderId="1" xfId="7" applyFont="1" applyFill="1" applyBorder="1" applyAlignment="1">
      <alignment horizontal="center" vertical="center"/>
    </xf>
    <xf numFmtId="172" fontId="0" fillId="0" borderId="24" xfId="0" applyNumberFormat="1" applyFill="1" applyBorder="1" applyAlignment="1">
      <alignment vertical="center"/>
    </xf>
    <xf numFmtId="9" fontId="0" fillId="0" borderId="1" xfId="7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 wrapText="1"/>
    </xf>
    <xf numFmtId="172" fontId="9" fillId="0" borderId="33" xfId="0" applyNumberFormat="1" applyFont="1" applyFill="1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41" xfId="0" applyFill="1" applyBorder="1" applyAlignment="1">
      <alignment vertical="center"/>
    </xf>
    <xf numFmtId="164" fontId="7" fillId="18" borderId="22" xfId="1" applyNumberFormat="1" applyFont="1" applyFill="1" applyBorder="1" applyAlignment="1">
      <alignment horizontal="center" vertical="center"/>
    </xf>
    <xf numFmtId="0" fontId="9" fillId="22" borderId="23" xfId="0" applyFont="1" applyFill="1" applyBorder="1" applyAlignment="1">
      <alignment vertical="center" wrapText="1"/>
    </xf>
    <xf numFmtId="0" fontId="9" fillId="22" borderId="23" xfId="0" applyFont="1" applyFill="1" applyBorder="1" applyAlignment="1">
      <alignment horizontal="center" vertical="center" wrapText="1"/>
    </xf>
    <xf numFmtId="165" fontId="9" fillId="23" borderId="23" xfId="4" applyFont="1" applyFill="1" applyBorder="1" applyAlignment="1">
      <alignment vertical="center" wrapText="1"/>
    </xf>
    <xf numFmtId="0" fontId="9" fillId="12" borderId="23" xfId="0" applyFont="1" applyFill="1" applyBorder="1" applyAlignment="1">
      <alignment horizontal="center" vertical="center" wrapText="1"/>
    </xf>
    <xf numFmtId="168" fontId="27" fillId="18" borderId="23" xfId="0" applyNumberFormat="1" applyFont="1" applyFill="1" applyBorder="1" applyAlignment="1">
      <alignment vertical="center" wrapText="1"/>
    </xf>
    <xf numFmtId="0" fontId="7" fillId="12" borderId="31" xfId="0" applyFont="1" applyFill="1" applyBorder="1" applyAlignment="1">
      <alignment horizontal="center" vertical="center" wrapText="1"/>
    </xf>
    <xf numFmtId="0" fontId="7" fillId="12" borderId="23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9" fillId="19" borderId="9" xfId="0" applyNumberFormat="1" applyFont="1" applyFill="1" applyBorder="1" applyAlignment="1">
      <alignment horizontal="left" vertical="center"/>
    </xf>
    <xf numFmtId="0" fontId="9" fillId="19" borderId="9" xfId="0" applyFont="1" applyFill="1" applyBorder="1" applyAlignment="1">
      <alignment horizontal="left" vertical="center" wrapText="1"/>
    </xf>
    <xf numFmtId="165" fontId="9" fillId="19" borderId="9" xfId="4" applyFont="1" applyFill="1" applyBorder="1" applyAlignment="1">
      <alignment horizontal="left" vertical="center"/>
    </xf>
    <xf numFmtId="0" fontId="9" fillId="19" borderId="2" xfId="0" applyNumberFormat="1" applyFont="1" applyFill="1" applyBorder="1" applyAlignment="1">
      <alignment horizontal="left" vertical="center"/>
    </xf>
    <xf numFmtId="0" fontId="9" fillId="19" borderId="2" xfId="0" applyFont="1" applyFill="1" applyBorder="1" applyAlignment="1">
      <alignment horizontal="left" vertical="center" wrapText="1"/>
    </xf>
    <xf numFmtId="0" fontId="9" fillId="19" borderId="3" xfId="0" applyNumberFormat="1" applyFont="1" applyFill="1" applyBorder="1" applyAlignment="1">
      <alignment horizontal="left" vertical="center"/>
    </xf>
    <xf numFmtId="0" fontId="9" fillId="19" borderId="3" xfId="0" applyFont="1" applyFill="1" applyBorder="1" applyAlignment="1">
      <alignment horizontal="left" vertical="center" wrapText="1"/>
    </xf>
    <xf numFmtId="165" fontId="1" fillId="19" borderId="9" xfId="4" applyFont="1" applyFill="1" applyBorder="1" applyAlignment="1">
      <alignment horizontal="center" vertical="center"/>
    </xf>
    <xf numFmtId="165" fontId="1" fillId="19" borderId="9" xfId="4" applyFont="1" applyFill="1" applyBorder="1" applyAlignment="1">
      <alignment horizontal="left" vertical="center"/>
    </xf>
    <xf numFmtId="165" fontId="5" fillId="2" borderId="9" xfId="4" applyFont="1" applyFill="1" applyBorder="1" applyAlignment="1">
      <alignment horizontal="right" vertical="center"/>
    </xf>
    <xf numFmtId="165" fontId="5" fillId="2" borderId="2" xfId="4" applyFont="1" applyFill="1" applyBorder="1" applyAlignment="1">
      <alignment horizontal="right" vertical="center"/>
    </xf>
    <xf numFmtId="165" fontId="5" fillId="8" borderId="2" xfId="4" applyFont="1" applyFill="1" applyBorder="1" applyAlignment="1">
      <alignment horizontal="right" vertical="center"/>
    </xf>
    <xf numFmtId="165" fontId="5" fillId="2" borderId="3" xfId="4" applyFont="1" applyFill="1" applyBorder="1" applyAlignment="1">
      <alignment horizontal="right" vertical="center"/>
    </xf>
    <xf numFmtId="165" fontId="18" fillId="18" borderId="23" xfId="4" applyFont="1" applyFill="1" applyBorder="1" applyAlignment="1">
      <alignment horizontal="right"/>
    </xf>
    <xf numFmtId="165" fontId="1" fillId="2" borderId="0" xfId="4" applyFont="1" applyFill="1" applyBorder="1" applyAlignment="1">
      <alignment horizontal="right" vertical="center"/>
    </xf>
    <xf numFmtId="165" fontId="9" fillId="2" borderId="0" xfId="4" applyFont="1" applyFill="1" applyAlignment="1">
      <alignment vertical="center"/>
    </xf>
    <xf numFmtId="165" fontId="1" fillId="8" borderId="2" xfId="4" applyFont="1" applyFill="1" applyBorder="1" applyAlignment="1">
      <alignment horizontal="left" vertical="center"/>
    </xf>
    <xf numFmtId="165" fontId="9" fillId="8" borderId="9" xfId="4" applyFont="1" applyFill="1" applyBorder="1" applyAlignment="1">
      <alignment horizontal="left" vertical="center"/>
    </xf>
    <xf numFmtId="165" fontId="23" fillId="0" borderId="11" xfId="4" applyFont="1" applyBorder="1" applyAlignment="1">
      <alignment vertical="center"/>
    </xf>
    <xf numFmtId="0" fontId="1" fillId="2" borderId="2" xfId="0" applyNumberFormat="1" applyFont="1" applyFill="1" applyBorder="1" applyAlignment="1">
      <alignment horizontal="center" vertical="center"/>
    </xf>
    <xf numFmtId="0" fontId="0" fillId="0" borderId="0" xfId="0" applyBorder="1"/>
    <xf numFmtId="44" fontId="38" fillId="8" borderId="0" xfId="0" applyNumberFormat="1" applyFont="1" applyFill="1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37" fillId="8" borderId="0" xfId="0" applyFont="1" applyFill="1" applyAlignment="1">
      <alignment vertical="center"/>
    </xf>
    <xf numFmtId="165" fontId="0" fillId="0" borderId="0" xfId="4" applyFont="1" applyAlignment="1"/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center" wrapText="1"/>
    </xf>
    <xf numFmtId="165" fontId="30" fillId="0" borderId="13" xfId="4" applyFont="1" applyBorder="1" applyAlignment="1"/>
    <xf numFmtId="165" fontId="1" fillId="0" borderId="13" xfId="4" applyFont="1" applyBorder="1" applyAlignment="1"/>
    <xf numFmtId="0" fontId="1" fillId="0" borderId="13" xfId="0" applyFont="1" applyBorder="1" applyAlignment="1"/>
    <xf numFmtId="0" fontId="37" fillId="8" borderId="13" xfId="0" applyFont="1" applyFill="1" applyBorder="1" applyAlignment="1">
      <alignment horizontal="left" vertical="top" wrapText="1"/>
    </xf>
    <xf numFmtId="0" fontId="9" fillId="0" borderId="23" xfId="0" applyFont="1" applyBorder="1"/>
    <xf numFmtId="165" fontId="1" fillId="0" borderId="2" xfId="4" applyFont="1" applyBorder="1" applyAlignment="1">
      <alignment vertical="center"/>
    </xf>
    <xf numFmtId="0" fontId="1" fillId="0" borderId="1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165" fontId="5" fillId="9" borderId="2" xfId="4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5" fillId="9" borderId="4" xfId="0" applyFont="1" applyFill="1" applyBorder="1" applyAlignment="1">
      <alignment horizontal="left"/>
    </xf>
    <xf numFmtId="165" fontId="5" fillId="9" borderId="9" xfId="4" applyFont="1" applyFill="1" applyBorder="1" applyAlignment="1">
      <alignment horizontal="right" vertical="center"/>
    </xf>
    <xf numFmtId="165" fontId="37" fillId="8" borderId="1" xfId="4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/>
    </xf>
    <xf numFmtId="165" fontId="1" fillId="0" borderId="17" xfId="4" applyFont="1" applyBorder="1" applyAlignment="1"/>
    <xf numFmtId="165" fontId="1" fillId="0" borderId="2" xfId="4" applyFont="1" applyBorder="1" applyAlignment="1"/>
    <xf numFmtId="165" fontId="1" fillId="0" borderId="3" xfId="4" applyFont="1" applyBorder="1" applyAlignment="1"/>
    <xf numFmtId="165" fontId="1" fillId="0" borderId="57" xfId="4" applyFont="1" applyBorder="1" applyAlignment="1"/>
    <xf numFmtId="0" fontId="9" fillId="0" borderId="23" xfId="0" applyFont="1" applyBorder="1" applyAlignment="1"/>
    <xf numFmtId="165" fontId="9" fillId="0" borderId="25" xfId="4" applyFont="1" applyBorder="1" applyAlignment="1"/>
    <xf numFmtId="0" fontId="9" fillId="0" borderId="23" xfId="0" applyFont="1" applyBorder="1" applyAlignment="1">
      <alignment horizontal="center" wrapText="1"/>
    </xf>
    <xf numFmtId="44" fontId="0" fillId="0" borderId="0" xfId="0" applyNumberFormat="1"/>
    <xf numFmtId="0" fontId="1" fillId="2" borderId="4" xfId="0" applyFont="1" applyFill="1" applyBorder="1" applyAlignment="1">
      <alignment horizontal="left" vertical="center"/>
    </xf>
    <xf numFmtId="0" fontId="5" fillId="19" borderId="4" xfId="0" applyFont="1" applyFill="1" applyBorder="1" applyAlignment="1">
      <alignment horizontal="left" vertical="center"/>
    </xf>
    <xf numFmtId="0" fontId="5" fillId="15" borderId="4" xfId="0" applyFont="1" applyFill="1" applyBorder="1" applyAlignment="1">
      <alignment horizontal="left"/>
    </xf>
    <xf numFmtId="49" fontId="5" fillId="9" borderId="26" xfId="0" applyNumberFormat="1" applyFont="1" applyFill="1" applyBorder="1" applyAlignment="1">
      <alignment horizontal="center" vertical="center" wrapText="1"/>
    </xf>
    <xf numFmtId="0" fontId="19" fillId="9" borderId="22" xfId="1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 wrapText="1"/>
    </xf>
    <xf numFmtId="165" fontId="0" fillId="0" borderId="0" xfId="4" applyFont="1"/>
    <xf numFmtId="0" fontId="23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8" borderId="8" xfId="0" applyFont="1" applyFill="1" applyBorder="1" applyAlignment="1">
      <alignment horizontal="left" vertical="center"/>
    </xf>
    <xf numFmtId="0" fontId="0" fillId="8" borderId="0" xfId="0" applyFont="1" applyFill="1"/>
    <xf numFmtId="0" fontId="0" fillId="8" borderId="1" xfId="0" applyFont="1" applyFill="1" applyBorder="1" applyAlignment="1">
      <alignment horizontal="left" vertical="center"/>
    </xf>
    <xf numFmtId="0" fontId="0" fillId="8" borderId="11" xfId="0" applyFont="1" applyFill="1" applyBorder="1" applyAlignment="1">
      <alignment horizontal="left" vertical="center"/>
    </xf>
    <xf numFmtId="0" fontId="0" fillId="8" borderId="18" xfId="0" applyFont="1" applyFill="1" applyBorder="1" applyAlignment="1">
      <alignment horizontal="center"/>
    </xf>
    <xf numFmtId="0" fontId="0" fillId="8" borderId="19" xfId="0" applyFont="1" applyFill="1" applyBorder="1" applyAlignment="1">
      <alignment horizontal="center" vertical="center"/>
    </xf>
    <xf numFmtId="3" fontId="0" fillId="8" borderId="0" xfId="0" applyNumberFormat="1" applyFont="1" applyFill="1"/>
    <xf numFmtId="165" fontId="0" fillId="8" borderId="0" xfId="4" applyFont="1" applyFill="1"/>
    <xf numFmtId="4" fontId="0" fillId="8" borderId="0" xfId="0" applyNumberFormat="1" applyFont="1" applyFill="1"/>
    <xf numFmtId="0" fontId="41" fillId="8" borderId="48" xfId="0" applyFont="1" applyFill="1" applyBorder="1" applyAlignment="1">
      <alignment horizontal="center" vertical="center"/>
    </xf>
    <xf numFmtId="176" fontId="41" fillId="8" borderId="46" xfId="0" applyNumberFormat="1" applyFont="1" applyFill="1" applyBorder="1" applyAlignment="1">
      <alignment horizontal="center" vertical="center"/>
    </xf>
    <xf numFmtId="177" fontId="37" fillId="8" borderId="1" xfId="0" applyNumberFormat="1" applyFont="1" applyFill="1" applyBorder="1" applyAlignment="1">
      <alignment vertical="center"/>
    </xf>
    <xf numFmtId="178" fontId="37" fillId="8" borderId="1" xfId="0" applyNumberFormat="1" applyFont="1" applyFill="1" applyBorder="1" applyAlignment="1">
      <alignment vertical="center"/>
    </xf>
    <xf numFmtId="176" fontId="37" fillId="8" borderId="1" xfId="0" applyNumberFormat="1" applyFont="1" applyFill="1" applyBorder="1" applyAlignment="1">
      <alignment vertical="center"/>
    </xf>
    <xf numFmtId="0" fontId="37" fillId="8" borderId="1" xfId="0" applyFont="1" applyFill="1" applyBorder="1" applyAlignment="1">
      <alignment vertical="center"/>
    </xf>
    <xf numFmtId="179" fontId="37" fillId="8" borderId="1" xfId="0" applyNumberFormat="1" applyFont="1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8" borderId="11" xfId="0" applyFont="1" applyFill="1" applyBorder="1" applyAlignment="1">
      <alignment vertic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165" fontId="0" fillId="0" borderId="1" xfId="4" applyFont="1" applyBorder="1" applyAlignment="1">
      <alignment horizontal="center"/>
    </xf>
    <xf numFmtId="165" fontId="12" fillId="20" borderId="9" xfId="4" applyFont="1" applyFill="1" applyBorder="1" applyAlignment="1">
      <alignment horizontal="left" vertical="center"/>
    </xf>
    <xf numFmtId="165" fontId="0" fillId="8" borderId="1" xfId="4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5" fontId="0" fillId="8" borderId="1" xfId="4" applyFont="1" applyFill="1" applyBorder="1"/>
    <xf numFmtId="165" fontId="40" fillId="8" borderId="1" xfId="4" applyFont="1" applyFill="1" applyBorder="1"/>
    <xf numFmtId="0" fontId="0" fillId="8" borderId="7" xfId="0" applyNumberFormat="1" applyFont="1" applyFill="1" applyBorder="1" applyAlignment="1">
      <alignment horizontal="center" vertical="center"/>
    </xf>
    <xf numFmtId="0" fontId="0" fillId="8" borderId="6" xfId="0" applyNumberFormat="1" applyFont="1" applyFill="1" applyBorder="1" applyAlignment="1">
      <alignment horizontal="center" vertical="center"/>
    </xf>
    <xf numFmtId="0" fontId="0" fillId="8" borderId="12" xfId="0" applyNumberFormat="1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vertical="center"/>
    </xf>
    <xf numFmtId="0" fontId="0" fillId="8" borderId="1" xfId="0" applyNumberFormat="1" applyFill="1" applyBorder="1" applyAlignment="1">
      <alignment horizontal="center"/>
    </xf>
    <xf numFmtId="165" fontId="0" fillId="8" borderId="1" xfId="4" applyFont="1" applyFill="1" applyBorder="1" applyAlignment="1">
      <alignment horizontal="right"/>
    </xf>
    <xf numFmtId="0" fontId="9" fillId="8" borderId="1" xfId="0" applyFont="1" applyFill="1" applyBorder="1"/>
    <xf numFmtId="165" fontId="40" fillId="8" borderId="1" xfId="4" applyFont="1" applyFill="1" applyBorder="1" applyAlignment="1">
      <alignment horizontal="right"/>
    </xf>
    <xf numFmtId="0" fontId="0" fillId="8" borderId="1" xfId="0" applyFill="1" applyBorder="1" applyAlignment="1">
      <alignment horizontal="center" vertical="center"/>
    </xf>
    <xf numFmtId="0" fontId="9" fillId="9" borderId="13" xfId="0" applyFont="1" applyFill="1" applyBorder="1" applyAlignment="1"/>
    <xf numFmtId="0" fontId="9" fillId="8" borderId="13" xfId="0" applyFont="1" applyFill="1" applyBorder="1" applyAlignment="1"/>
    <xf numFmtId="0" fontId="9" fillId="17" borderId="45" xfId="0" applyFont="1" applyFill="1" applyBorder="1" applyAlignment="1">
      <alignment horizontal="center" vertical="center" textRotation="90" wrapText="1"/>
    </xf>
    <xf numFmtId="0" fontId="9" fillId="17" borderId="29" xfId="0" applyFont="1" applyFill="1" applyBorder="1" applyAlignment="1">
      <alignment horizontal="center" vertical="center"/>
    </xf>
    <xf numFmtId="44" fontId="9" fillId="9" borderId="23" xfId="0" applyNumberFormat="1" applyFont="1" applyFill="1" applyBorder="1"/>
    <xf numFmtId="44" fontId="0" fillId="9" borderId="0" xfId="0" applyNumberFormat="1" applyFill="1"/>
    <xf numFmtId="0" fontId="9" fillId="0" borderId="0" xfId="0" applyFont="1" applyAlignment="1">
      <alignment horizontal="left" wrapText="1"/>
    </xf>
    <xf numFmtId="165" fontId="2" fillId="0" borderId="0" xfId="4" applyFont="1"/>
    <xf numFmtId="165" fontId="1" fillId="2" borderId="0" xfId="0" applyNumberFormat="1" applyFont="1" applyFill="1" applyAlignment="1">
      <alignment vertical="center"/>
    </xf>
    <xf numFmtId="165" fontId="30" fillId="2" borderId="9" xfId="4" applyFont="1" applyFill="1" applyBorder="1" applyAlignment="1">
      <alignment horizontal="left" vertical="center"/>
    </xf>
    <xf numFmtId="0" fontId="9" fillId="17" borderId="30" xfId="0" applyFont="1" applyFill="1" applyBorder="1" applyAlignment="1">
      <alignment horizontal="center" vertical="center"/>
    </xf>
    <xf numFmtId="165" fontId="30" fillId="2" borderId="9" xfId="4" applyFont="1" applyFill="1" applyBorder="1" applyAlignment="1">
      <alignment horizontal="center" vertical="center"/>
    </xf>
    <xf numFmtId="165" fontId="30" fillId="0" borderId="9" xfId="4" applyFont="1" applyFill="1" applyBorder="1" applyAlignment="1">
      <alignment horizontal="left" vertical="center"/>
    </xf>
    <xf numFmtId="165" fontId="24" fillId="23" borderId="23" xfId="4" applyFont="1" applyFill="1" applyBorder="1" applyAlignment="1">
      <alignment vertical="center" wrapText="1"/>
    </xf>
    <xf numFmtId="165" fontId="31" fillId="0" borderId="23" xfId="4" applyFont="1" applyBorder="1"/>
    <xf numFmtId="165" fontId="2" fillId="0" borderId="0" xfId="0" applyNumberFormat="1" applyFont="1"/>
    <xf numFmtId="0" fontId="23" fillId="2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61" xfId="0" applyFont="1" applyFill="1" applyBorder="1" applyAlignment="1">
      <alignment horizontal="center" vertical="center" wrapText="1"/>
    </xf>
    <xf numFmtId="166" fontId="5" fillId="0" borderId="5" xfId="4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9" fillId="18" borderId="45" xfId="1" applyFont="1" applyFill="1" applyBorder="1" applyAlignment="1">
      <alignment horizontal="center" vertical="center"/>
    </xf>
    <xf numFmtId="166" fontId="5" fillId="0" borderId="1" xfId="4" applyNumberFormat="1" applyFont="1" applyFill="1" applyBorder="1" applyAlignment="1">
      <alignment horizontal="right" vertical="center"/>
    </xf>
    <xf numFmtId="166" fontId="19" fillId="18" borderId="25" xfId="1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165" fontId="0" fillId="0" borderId="1" xfId="4" applyFont="1" applyBorder="1"/>
    <xf numFmtId="0" fontId="0" fillId="0" borderId="1" xfId="0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5" fontId="9" fillId="0" borderId="1" xfId="4" applyFont="1" applyFill="1" applyBorder="1" applyAlignment="1">
      <alignment horizontal="center" vertical="center"/>
    </xf>
    <xf numFmtId="49" fontId="37" fillId="0" borderId="8" xfId="0" applyNumberFormat="1" applyFont="1" applyBorder="1" applyAlignment="1">
      <alignment horizontal="left" vertical="center"/>
    </xf>
    <xf numFmtId="0" fontId="5" fillId="26" borderId="4" xfId="0" applyFont="1" applyFill="1" applyBorder="1" applyAlignment="1">
      <alignment horizontal="left"/>
    </xf>
    <xf numFmtId="166" fontId="5" fillId="26" borderId="2" xfId="4" applyNumberFormat="1" applyFont="1" applyFill="1" applyBorder="1" applyAlignment="1">
      <alignment horizontal="right"/>
    </xf>
    <xf numFmtId="166" fontId="35" fillId="25" borderId="3" xfId="4" applyNumberFormat="1" applyFont="1" applyFill="1" applyBorder="1" applyAlignment="1">
      <alignment horizontal="right"/>
    </xf>
    <xf numFmtId="165" fontId="9" fillId="0" borderId="9" xfId="4" applyFont="1" applyFill="1" applyBorder="1" applyAlignment="1">
      <alignment horizontal="left" vertical="center"/>
    </xf>
    <xf numFmtId="44" fontId="9" fillId="0" borderId="0" xfId="0" applyNumberFormat="1" applyFont="1"/>
    <xf numFmtId="0" fontId="31" fillId="0" borderId="0" xfId="0" applyFont="1" applyAlignment="1">
      <alignment horizontal="center"/>
    </xf>
    <xf numFmtId="165" fontId="9" fillId="0" borderId="0" xfId="4" applyFont="1" applyAlignment="1">
      <alignment horizontal="left"/>
    </xf>
    <xf numFmtId="165" fontId="44" fillId="0" borderId="0" xfId="4" applyFont="1" applyAlignment="1">
      <alignment horizontal="left"/>
    </xf>
    <xf numFmtId="165" fontId="9" fillId="0" borderId="0" xfId="4" applyFont="1"/>
    <xf numFmtId="165" fontId="43" fillId="0" borderId="23" xfId="4" applyFont="1" applyBorder="1"/>
    <xf numFmtId="165" fontId="0" fillId="0" borderId="1" xfId="0" applyNumberFormat="1" applyBorder="1"/>
    <xf numFmtId="165" fontId="9" fillId="0" borderId="1" xfId="0" applyNumberFormat="1" applyFont="1" applyBorder="1"/>
    <xf numFmtId="0" fontId="1" fillId="0" borderId="1" xfId="0" applyFont="1" applyFill="1" applyBorder="1"/>
    <xf numFmtId="44" fontId="43" fillId="0" borderId="0" xfId="0" applyNumberFormat="1" applyFont="1"/>
    <xf numFmtId="0" fontId="1" fillId="0" borderId="0" xfId="0" applyFont="1" applyAlignment="1">
      <alignment horizontal="left" vertical="center" wrapText="1"/>
    </xf>
    <xf numFmtId="165" fontId="0" fillId="8" borderId="1" xfId="4" applyFont="1" applyFill="1" applyBorder="1" applyAlignment="1">
      <alignment horizontal="center"/>
    </xf>
    <xf numFmtId="0" fontId="37" fillId="8" borderId="0" xfId="0" applyFont="1" applyFill="1" applyAlignment="1">
      <alignment horizontal="left" vertical="center" wrapText="1"/>
    </xf>
    <xf numFmtId="165" fontId="9" fillId="9" borderId="0" xfId="4" applyFont="1" applyFill="1"/>
    <xf numFmtId="165" fontId="9" fillId="9" borderId="0" xfId="0" applyNumberFormat="1" applyFont="1" applyFill="1"/>
    <xf numFmtId="0" fontId="0" fillId="0" borderId="0" xfId="0" applyFont="1" applyFill="1" applyBorder="1"/>
    <xf numFmtId="0" fontId="1" fillId="0" borderId="0" xfId="0" applyFont="1" applyAlignment="1">
      <alignment horizontal="center" wrapText="1"/>
    </xf>
    <xf numFmtId="0" fontId="9" fillId="9" borderId="0" xfId="0" applyFont="1" applyFill="1" applyAlignment="1">
      <alignment horizontal="center"/>
    </xf>
    <xf numFmtId="49" fontId="7" fillId="0" borderId="30" xfId="0" applyNumberFormat="1" applyFont="1" applyBorder="1" applyAlignment="1">
      <alignment vertical="center"/>
    </xf>
    <xf numFmtId="49" fontId="7" fillId="0" borderId="62" xfId="0" applyNumberFormat="1" applyFont="1" applyBorder="1" applyAlignment="1">
      <alignment vertical="center" wrapText="1"/>
    </xf>
    <xf numFmtId="49" fontId="5" fillId="0" borderId="62" xfId="0" applyNumberFormat="1" applyFont="1" applyBorder="1" applyAlignment="1">
      <alignment vertical="center" wrapText="1"/>
    </xf>
    <xf numFmtId="49" fontId="5" fillId="9" borderId="62" xfId="0" applyNumberFormat="1" applyFont="1" applyFill="1" applyBorder="1" applyAlignment="1">
      <alignment vertical="center" wrapText="1"/>
    </xf>
    <xf numFmtId="49" fontId="5" fillId="0" borderId="37" xfId="0" applyNumberFormat="1" applyFont="1" applyBorder="1" applyAlignment="1">
      <alignment vertical="center" wrapText="1"/>
    </xf>
    <xf numFmtId="49" fontId="5" fillId="0" borderId="63" xfId="0" applyNumberFormat="1" applyFont="1" applyBorder="1" applyAlignment="1">
      <alignment vertical="center" wrapText="1"/>
    </xf>
    <xf numFmtId="44" fontId="43" fillId="0" borderId="23" xfId="0" applyNumberFormat="1" applyFont="1" applyBorder="1"/>
    <xf numFmtId="0" fontId="9" fillId="8" borderId="0" xfId="0" applyFont="1" applyFill="1" applyBorder="1"/>
    <xf numFmtId="0" fontId="1" fillId="0" borderId="0" xfId="0" applyFont="1" applyFill="1" applyBorder="1"/>
    <xf numFmtId="44" fontId="9" fillId="9" borderId="0" xfId="0" applyNumberFormat="1" applyFont="1" applyFill="1"/>
    <xf numFmtId="44" fontId="43" fillId="9" borderId="23" xfId="0" applyNumberFormat="1" applyFont="1" applyFill="1" applyBorder="1"/>
    <xf numFmtId="165" fontId="37" fillId="8" borderId="9" xfId="4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 indent="1"/>
    </xf>
    <xf numFmtId="49" fontId="13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7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/>
    </xf>
    <xf numFmtId="0" fontId="9" fillId="18" borderId="31" xfId="0" applyFont="1" applyFill="1" applyBorder="1" applyAlignment="1">
      <alignment horizontal="center" vertical="center" wrapText="1"/>
    </xf>
    <xf numFmtId="0" fontId="9" fillId="18" borderId="32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justify" vertical="center"/>
    </xf>
    <xf numFmtId="0" fontId="23" fillId="2" borderId="0" xfId="0" applyFont="1" applyFill="1" applyAlignment="1">
      <alignment horizontal="left" vertical="center"/>
    </xf>
    <xf numFmtId="0" fontId="5" fillId="8" borderId="0" xfId="0" applyFont="1" applyFill="1" applyAlignment="1">
      <alignment horizontal="center" vertical="center"/>
    </xf>
    <xf numFmtId="0" fontId="9" fillId="17" borderId="29" xfId="0" applyFont="1" applyFill="1" applyBorder="1" applyAlignment="1">
      <alignment horizontal="center" vertical="center" textRotation="90" wrapText="1"/>
    </xf>
    <xf numFmtId="0" fontId="9" fillId="17" borderId="30" xfId="0" applyFont="1" applyFill="1" applyBorder="1" applyAlignment="1">
      <alignment horizontal="center" vertical="center" textRotation="90" wrapText="1"/>
    </xf>
    <xf numFmtId="0" fontId="9" fillId="17" borderId="45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/>
    </xf>
    <xf numFmtId="0" fontId="7" fillId="2" borderId="34" xfId="0" applyFont="1" applyFill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9" fillId="24" borderId="27" xfId="0" applyFont="1" applyFill="1" applyBorder="1" applyAlignment="1">
      <alignment horizontal="center" vertical="center" wrapText="1"/>
    </xf>
    <xf numFmtId="0" fontId="9" fillId="24" borderId="26" xfId="0" applyFont="1" applyFill="1" applyBorder="1" applyAlignment="1">
      <alignment horizontal="center" vertical="center" wrapText="1"/>
    </xf>
    <xf numFmtId="0" fontId="9" fillId="24" borderId="25" xfId="0" applyFont="1" applyFill="1" applyBorder="1" applyAlignment="1">
      <alignment horizontal="center" vertical="center" wrapText="1"/>
    </xf>
    <xf numFmtId="0" fontId="9" fillId="17" borderId="27" xfId="0" applyFont="1" applyFill="1" applyBorder="1" applyAlignment="1" applyProtection="1">
      <alignment horizontal="center" vertical="center" textRotation="90" wrapText="1"/>
      <protection locked="0" hidden="1"/>
    </xf>
    <xf numFmtId="0" fontId="9" fillId="17" borderId="26" xfId="0" applyFont="1" applyFill="1" applyBorder="1" applyAlignment="1" applyProtection="1">
      <alignment horizontal="center" vertical="center" textRotation="90" wrapText="1"/>
      <protection locked="0" hidden="1"/>
    </xf>
    <xf numFmtId="0" fontId="9" fillId="17" borderId="25" xfId="0" applyFont="1" applyFill="1" applyBorder="1" applyAlignment="1" applyProtection="1">
      <alignment horizontal="center" vertical="center" textRotation="90" wrapText="1"/>
      <protection locked="0" hidden="1"/>
    </xf>
    <xf numFmtId="0" fontId="9" fillId="24" borderId="27" xfId="0" applyFont="1" applyFill="1" applyBorder="1" applyAlignment="1">
      <alignment horizontal="center" vertical="center" textRotation="90" wrapText="1"/>
    </xf>
    <xf numFmtId="0" fontId="9" fillId="24" borderId="26" xfId="0" applyFont="1" applyFill="1" applyBorder="1" applyAlignment="1">
      <alignment horizontal="center" vertical="center" textRotation="90" wrapText="1"/>
    </xf>
    <xf numFmtId="0" fontId="9" fillId="24" borderId="25" xfId="0" applyFont="1" applyFill="1" applyBorder="1" applyAlignment="1">
      <alignment horizontal="center" vertical="center" textRotation="90" wrapText="1"/>
    </xf>
    <xf numFmtId="0" fontId="9" fillId="17" borderId="37" xfId="0" applyFont="1" applyFill="1" applyBorder="1" applyAlignment="1">
      <alignment horizontal="center" vertical="center"/>
    </xf>
    <xf numFmtId="0" fontId="9" fillId="17" borderId="38" xfId="0" applyFont="1" applyFill="1" applyBorder="1" applyAlignment="1">
      <alignment horizontal="center" vertical="center"/>
    </xf>
    <xf numFmtId="0" fontId="9" fillId="17" borderId="29" xfId="0" applyFont="1" applyFill="1" applyBorder="1" applyAlignment="1">
      <alignment horizontal="center" vertical="center"/>
    </xf>
    <xf numFmtId="0" fontId="9" fillId="17" borderId="32" xfId="0" applyFont="1" applyFill="1" applyBorder="1" applyAlignment="1">
      <alignment horizontal="center" vertical="center"/>
    </xf>
    <xf numFmtId="0" fontId="9" fillId="17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13" borderId="32" xfId="0" applyFont="1" applyFill="1" applyBorder="1" applyAlignment="1">
      <alignment horizontal="center" vertical="center"/>
    </xf>
    <xf numFmtId="0" fontId="9" fillId="13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2" borderId="31" xfId="1" applyFont="1" applyFill="1" applyBorder="1" applyAlignment="1">
      <alignment horizontal="center" vertical="center"/>
    </xf>
    <xf numFmtId="0" fontId="9" fillId="12" borderId="32" xfId="1" applyFont="1" applyFill="1" applyBorder="1" applyAlignment="1">
      <alignment horizontal="center" vertical="center"/>
    </xf>
    <xf numFmtId="0" fontId="9" fillId="12" borderId="27" xfId="1" applyFont="1" applyFill="1" applyBorder="1" applyAlignment="1">
      <alignment horizontal="center" vertical="center" wrapText="1"/>
    </xf>
    <xf numFmtId="0" fontId="9" fillId="12" borderId="25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9" fillId="12" borderId="27" xfId="4" applyFont="1" applyFill="1" applyBorder="1" applyAlignment="1" applyProtection="1">
      <alignment horizontal="center" vertical="center" textRotation="90" wrapText="1"/>
      <protection locked="0" hidden="1"/>
    </xf>
    <xf numFmtId="165" fontId="9" fillId="12" borderId="25" xfId="4" applyFont="1" applyFill="1" applyBorder="1" applyAlignment="1" applyProtection="1">
      <alignment horizontal="center" vertical="center" textRotation="90" wrapText="1"/>
      <protection locked="0" hidden="1"/>
    </xf>
    <xf numFmtId="0" fontId="7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1" borderId="31" xfId="0" applyFont="1" applyFill="1" applyBorder="1" applyAlignment="1">
      <alignment horizontal="center" vertical="center"/>
    </xf>
    <xf numFmtId="0" fontId="4" fillId="21" borderId="32" xfId="0" applyFont="1" applyFill="1" applyBorder="1" applyAlignment="1">
      <alignment horizontal="center" vertical="center"/>
    </xf>
    <xf numFmtId="0" fontId="4" fillId="21" borderId="2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2" fillId="2" borderId="34" xfId="0" applyFont="1" applyFill="1" applyBorder="1" applyAlignment="1">
      <alignment horizontal="left"/>
    </xf>
    <xf numFmtId="0" fontId="4" fillId="21" borderId="31" xfId="0" applyFont="1" applyFill="1" applyBorder="1" applyAlignment="1">
      <alignment horizontal="center"/>
    </xf>
    <xf numFmtId="0" fontId="4" fillId="21" borderId="32" xfId="0" applyFont="1" applyFill="1" applyBorder="1" applyAlignment="1">
      <alignment horizontal="center"/>
    </xf>
    <xf numFmtId="0" fontId="4" fillId="21" borderId="22" xfId="0" applyFont="1" applyFill="1" applyBorder="1" applyAlignment="1">
      <alignment horizontal="center"/>
    </xf>
    <xf numFmtId="0" fontId="9" fillId="12" borderId="31" xfId="1" applyFont="1" applyFill="1" applyBorder="1" applyAlignment="1">
      <alignment horizontal="center"/>
    </xf>
    <xf numFmtId="0" fontId="9" fillId="12" borderId="32" xfId="1" applyFont="1" applyFill="1" applyBorder="1" applyAlignment="1">
      <alignment horizontal="center"/>
    </xf>
    <xf numFmtId="0" fontId="12" fillId="12" borderId="27" xfId="1" applyFont="1" applyFill="1" applyBorder="1" applyAlignment="1">
      <alignment horizontal="center" vertical="center" wrapText="1"/>
    </xf>
    <xf numFmtId="0" fontId="12" fillId="12" borderId="25" xfId="1" applyFont="1" applyFill="1" applyBorder="1" applyAlignment="1">
      <alignment horizontal="center" vertical="center" wrapText="1"/>
    </xf>
    <xf numFmtId="0" fontId="12" fillId="12" borderId="27" xfId="1" applyFont="1" applyFill="1" applyBorder="1" applyAlignment="1" applyProtection="1">
      <alignment horizontal="center" vertical="center" textRotation="90" wrapText="1"/>
      <protection locked="0" hidden="1"/>
    </xf>
    <xf numFmtId="0" fontId="12" fillId="12" borderId="25" xfId="1" applyFont="1" applyFill="1" applyBorder="1" applyAlignment="1" applyProtection="1">
      <alignment horizontal="center" vertical="center" textRotation="90" wrapText="1"/>
      <protection locked="0" hidden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2" fillId="2" borderId="0" xfId="0" applyFont="1" applyFill="1" applyBorder="1" applyAlignment="1">
      <alignment horizontal="left"/>
    </xf>
    <xf numFmtId="0" fontId="39" fillId="21" borderId="31" xfId="0" applyNumberFormat="1" applyFont="1" applyFill="1" applyBorder="1" applyAlignment="1">
      <alignment horizontal="center"/>
    </xf>
    <xf numFmtId="0" fontId="39" fillId="21" borderId="32" xfId="0" applyNumberFormat="1" applyFont="1" applyFill="1" applyBorder="1" applyAlignment="1">
      <alignment horizontal="center"/>
    </xf>
    <xf numFmtId="0" fontId="39" fillId="21" borderId="22" xfId="0" applyNumberFormat="1" applyFont="1" applyFill="1" applyBorder="1" applyAlignment="1">
      <alignment horizontal="center"/>
    </xf>
    <xf numFmtId="0" fontId="20" fillId="21" borderId="31" xfId="0" applyFont="1" applyFill="1" applyBorder="1" applyAlignment="1">
      <alignment horizontal="center"/>
    </xf>
    <xf numFmtId="0" fontId="20" fillId="21" borderId="32" xfId="0" applyFont="1" applyFill="1" applyBorder="1" applyAlignment="1">
      <alignment horizontal="center"/>
    </xf>
    <xf numFmtId="0" fontId="20" fillId="21" borderId="22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justify"/>
    </xf>
    <xf numFmtId="0" fontId="7" fillId="2" borderId="0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12" fillId="12" borderId="31" xfId="1" applyFont="1" applyFill="1" applyBorder="1" applyAlignment="1">
      <alignment horizontal="center"/>
    </xf>
    <xf numFmtId="0" fontId="12" fillId="12" borderId="32" xfId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left"/>
    </xf>
    <xf numFmtId="0" fontId="20" fillId="4" borderId="31" xfId="0" applyFont="1" applyFill="1" applyBorder="1" applyAlignment="1">
      <alignment horizontal="center"/>
    </xf>
    <xf numFmtId="0" fontId="20" fillId="4" borderId="32" xfId="0" applyFont="1" applyFill="1" applyBorder="1" applyAlignment="1">
      <alignment horizontal="center"/>
    </xf>
    <xf numFmtId="0" fontId="20" fillId="4" borderId="22" xfId="0" applyFont="1" applyFill="1" applyBorder="1" applyAlignment="1">
      <alignment horizontal="center"/>
    </xf>
    <xf numFmtId="0" fontId="12" fillId="6" borderId="31" xfId="1" applyFont="1" applyFill="1" applyBorder="1" applyAlignment="1">
      <alignment horizontal="center"/>
    </xf>
    <xf numFmtId="0" fontId="12" fillId="6" borderId="32" xfId="1" applyFont="1" applyFill="1" applyBorder="1" applyAlignment="1">
      <alignment horizontal="center"/>
    </xf>
    <xf numFmtId="0" fontId="12" fillId="6" borderId="27" xfId="1" applyFont="1" applyFill="1" applyBorder="1" applyAlignment="1">
      <alignment horizontal="center" vertical="center" wrapText="1"/>
    </xf>
    <xf numFmtId="0" fontId="12" fillId="6" borderId="25" xfId="1" applyFont="1" applyFill="1" applyBorder="1" applyAlignment="1">
      <alignment horizontal="center" vertical="center" wrapText="1"/>
    </xf>
    <xf numFmtId="0" fontId="12" fillId="6" borderId="27" xfId="1" applyFont="1" applyFill="1" applyBorder="1" applyAlignment="1" applyProtection="1">
      <alignment horizontal="center" vertical="center" textRotation="90" wrapText="1"/>
      <protection locked="0" hidden="1"/>
    </xf>
    <xf numFmtId="0" fontId="12" fillId="6" borderId="25" xfId="1" applyFont="1" applyFill="1" applyBorder="1" applyAlignment="1" applyProtection="1">
      <alignment horizontal="center" vertical="center" textRotation="90" wrapText="1"/>
      <protection locked="0" hidden="1"/>
    </xf>
    <xf numFmtId="0" fontId="4" fillId="4" borderId="31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9" fillId="6" borderId="31" xfId="1" applyFont="1" applyFill="1" applyBorder="1" applyAlignment="1">
      <alignment horizontal="center"/>
    </xf>
    <xf numFmtId="0" fontId="9" fillId="6" borderId="32" xfId="1" applyFont="1" applyFill="1" applyBorder="1" applyAlignment="1">
      <alignment horizontal="center"/>
    </xf>
    <xf numFmtId="0" fontId="12" fillId="12" borderId="26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12" borderId="27" xfId="0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 wrapText="1"/>
    </xf>
    <xf numFmtId="0" fontId="1" fillId="12" borderId="35" xfId="0" applyFont="1" applyFill="1" applyBorder="1" applyAlignment="1">
      <alignment horizontal="center" vertical="center"/>
    </xf>
    <xf numFmtId="0" fontId="1" fillId="12" borderId="36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9" fillId="12" borderId="31" xfId="0" applyFont="1" applyFill="1" applyBorder="1" applyAlignment="1">
      <alignment horizontal="center" vertical="center" wrapText="1"/>
    </xf>
    <xf numFmtId="0" fontId="9" fillId="12" borderId="32" xfId="0" applyFont="1" applyFill="1" applyBorder="1" applyAlignment="1">
      <alignment horizontal="center" vertical="center" wrapText="1"/>
    </xf>
    <xf numFmtId="0" fontId="9" fillId="12" borderId="23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30" xfId="0" applyFont="1" applyFill="1" applyBorder="1" applyAlignment="1">
      <alignment horizontal="center" vertical="center" wrapText="1"/>
    </xf>
    <xf numFmtId="0" fontId="9" fillId="12" borderId="45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18" borderId="31" xfId="0" applyFont="1" applyFill="1" applyBorder="1" applyAlignment="1">
      <alignment horizontal="center" vertical="center"/>
    </xf>
    <xf numFmtId="0" fontId="1" fillId="18" borderId="32" xfId="0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horizontal="center" vertical="center"/>
    </xf>
    <xf numFmtId="0" fontId="9" fillId="12" borderId="4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horizontal="center" vertical="center" wrapText="1"/>
    </xf>
    <xf numFmtId="0" fontId="31" fillId="8" borderId="25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8" borderId="37" xfId="0" applyFont="1" applyFill="1" applyBorder="1" applyAlignment="1">
      <alignment horizontal="center" vertical="center" wrapText="1"/>
    </xf>
    <xf numFmtId="0" fontId="9" fillId="8" borderId="38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18" borderId="48" xfId="0" applyFont="1" applyFill="1" applyBorder="1" applyAlignment="1">
      <alignment horizontal="center" vertical="center"/>
    </xf>
    <xf numFmtId="0" fontId="9" fillId="18" borderId="6" xfId="0" applyFont="1" applyFill="1" applyBorder="1" applyAlignment="1">
      <alignment horizontal="center" vertical="center"/>
    </xf>
    <xf numFmtId="0" fontId="9" fillId="18" borderId="39" xfId="0" applyFont="1" applyFill="1" applyBorder="1" applyAlignment="1">
      <alignment horizontal="center" vertical="center"/>
    </xf>
    <xf numFmtId="0" fontId="9" fillId="18" borderId="46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9" fillId="18" borderId="33" xfId="0" applyFont="1" applyFill="1" applyBorder="1" applyAlignment="1">
      <alignment horizontal="center" vertical="center" wrapText="1"/>
    </xf>
    <xf numFmtId="0" fontId="31" fillId="18" borderId="1" xfId="0" applyFont="1" applyFill="1" applyBorder="1" applyAlignment="1">
      <alignment horizontal="center" vertical="center" wrapText="1"/>
    </xf>
    <xf numFmtId="0" fontId="31" fillId="18" borderId="33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9" fillId="18" borderId="11" xfId="0" applyFont="1" applyFill="1" applyBorder="1" applyAlignment="1">
      <alignment horizontal="center" vertical="center" wrapText="1"/>
    </xf>
    <xf numFmtId="0" fontId="9" fillId="18" borderId="52" xfId="0" applyFont="1" applyFill="1" applyBorder="1" applyAlignment="1">
      <alignment horizontal="center" vertical="center" wrapText="1"/>
    </xf>
    <xf numFmtId="0" fontId="9" fillId="18" borderId="47" xfId="0" applyFont="1" applyFill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0" fontId="9" fillId="18" borderId="41" xfId="0" applyFont="1" applyFill="1" applyBorder="1" applyAlignment="1">
      <alignment horizontal="center" vertical="center" wrapText="1"/>
    </xf>
    <xf numFmtId="0" fontId="9" fillId="18" borderId="49" xfId="0" applyFont="1" applyFill="1" applyBorder="1" applyAlignment="1">
      <alignment horizontal="center" vertical="center" wrapText="1"/>
    </xf>
    <xf numFmtId="0" fontId="9" fillId="18" borderId="50" xfId="0" applyFont="1" applyFill="1" applyBorder="1" applyAlignment="1">
      <alignment horizontal="center" vertical="center" wrapText="1"/>
    </xf>
    <xf numFmtId="0" fontId="9" fillId="18" borderId="51" xfId="0" applyFont="1" applyFill="1" applyBorder="1" applyAlignment="1">
      <alignment horizontal="center" vertical="center" wrapText="1"/>
    </xf>
    <xf numFmtId="0" fontId="9" fillId="18" borderId="43" xfId="0" applyFont="1" applyFill="1" applyBorder="1" applyAlignment="1">
      <alignment horizontal="center" vertical="center" wrapText="1"/>
    </xf>
    <xf numFmtId="0" fontId="9" fillId="18" borderId="38" xfId="0" applyFont="1" applyFill="1" applyBorder="1" applyAlignment="1">
      <alignment horizontal="center" vertical="center" wrapText="1"/>
    </xf>
    <xf numFmtId="0" fontId="9" fillId="18" borderId="53" xfId="0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0" fontId="9" fillId="18" borderId="0" xfId="0" applyFont="1" applyFill="1" applyBorder="1" applyAlignment="1">
      <alignment horizontal="center" vertical="center" wrapText="1"/>
    </xf>
    <xf numFmtId="0" fontId="9" fillId="18" borderId="54" xfId="0" applyFont="1" applyFill="1" applyBorder="1" applyAlignment="1">
      <alignment horizontal="center" vertical="center" wrapText="1"/>
    </xf>
    <xf numFmtId="0" fontId="9" fillId="18" borderId="55" xfId="0" applyFont="1" applyFill="1" applyBorder="1" applyAlignment="1">
      <alignment horizontal="center" vertical="center" wrapText="1"/>
    </xf>
    <xf numFmtId="0" fontId="9" fillId="18" borderId="34" xfId="0" applyFont="1" applyFill="1" applyBorder="1" applyAlignment="1">
      <alignment horizontal="center" vertical="center" wrapText="1"/>
    </xf>
    <xf numFmtId="0" fontId="9" fillId="18" borderId="56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4" fontId="9" fillId="9" borderId="33" xfId="0" applyNumberFormat="1" applyFont="1" applyFill="1" applyBorder="1" applyAlignment="1">
      <alignment horizontal="left" vertical="center"/>
    </xf>
    <xf numFmtId="44" fontId="9" fillId="9" borderId="41" xfId="0" applyNumberFormat="1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165" fontId="0" fillId="8" borderId="49" xfId="4" applyFont="1" applyFill="1" applyBorder="1" applyAlignment="1">
      <alignment horizontal="center"/>
    </xf>
    <xf numFmtId="165" fontId="0" fillId="8" borderId="60" xfId="4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4" fontId="38" fillId="8" borderId="21" xfId="0" applyNumberFormat="1" applyFont="1" applyFill="1" applyBorder="1" applyAlignment="1">
      <alignment horizontal="center" vertical="center"/>
    </xf>
    <xf numFmtId="44" fontId="38" fillId="8" borderId="22" xfId="0" applyNumberFormat="1" applyFont="1" applyFill="1" applyBorder="1" applyAlignment="1">
      <alignment horizontal="center" vertical="center"/>
    </xf>
    <xf numFmtId="165" fontId="0" fillId="8" borderId="58" xfId="4" applyFont="1" applyFill="1" applyBorder="1" applyAlignment="1">
      <alignment horizontal="center"/>
    </xf>
    <xf numFmtId="165" fontId="0" fillId="8" borderId="59" xfId="4" applyFont="1" applyFill="1" applyBorder="1" applyAlignment="1">
      <alignment horizontal="center"/>
    </xf>
    <xf numFmtId="165" fontId="0" fillId="8" borderId="13" xfId="4" applyFont="1" applyFill="1" applyBorder="1" applyAlignment="1">
      <alignment horizontal="center"/>
    </xf>
    <xf numFmtId="165" fontId="0" fillId="8" borderId="4" xfId="4" applyFont="1" applyFill="1" applyBorder="1" applyAlignment="1">
      <alignment horizontal="center"/>
    </xf>
    <xf numFmtId="165" fontId="37" fillId="8" borderId="1" xfId="4" applyFont="1" applyFill="1" applyBorder="1" applyAlignment="1">
      <alignment horizontal="right" vertical="center"/>
    </xf>
    <xf numFmtId="165" fontId="37" fillId="8" borderId="24" xfId="4" applyFont="1" applyFill="1" applyBorder="1" applyAlignment="1">
      <alignment horizontal="right" vertical="center"/>
    </xf>
    <xf numFmtId="165" fontId="0" fillId="8" borderId="1" xfId="4" applyFont="1" applyFill="1" applyBorder="1" applyAlignment="1">
      <alignment horizontal="center"/>
    </xf>
    <xf numFmtId="165" fontId="0" fillId="8" borderId="24" xfId="4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0" fillId="8" borderId="8" xfId="4" applyFont="1" applyFill="1" applyBorder="1" applyAlignment="1">
      <alignment horizontal="center"/>
    </xf>
    <xf numFmtId="165" fontId="0" fillId="8" borderId="40" xfId="4" applyFont="1" applyFill="1" applyBorder="1" applyAlignment="1">
      <alignment horizontal="center"/>
    </xf>
    <xf numFmtId="165" fontId="0" fillId="8" borderId="11" xfId="4" applyFont="1" applyFill="1" applyBorder="1" applyAlignment="1">
      <alignment horizontal="center"/>
    </xf>
    <xf numFmtId="165" fontId="0" fillId="8" borderId="42" xfId="4" applyFont="1" applyFill="1" applyBorder="1" applyAlignment="1">
      <alignment horizontal="center"/>
    </xf>
    <xf numFmtId="44" fontId="38" fillId="8" borderId="19" xfId="0" applyNumberFormat="1" applyFont="1" applyFill="1" applyBorder="1" applyAlignment="1">
      <alignment horizontal="center" vertical="center"/>
    </xf>
    <xf numFmtId="44" fontId="38" fillId="8" borderId="20" xfId="0" applyNumberFormat="1" applyFont="1" applyFill="1" applyBorder="1" applyAlignment="1">
      <alignment horizontal="center" vertical="center"/>
    </xf>
    <xf numFmtId="0" fontId="41" fillId="8" borderId="46" xfId="0" applyFont="1" applyFill="1" applyBorder="1" applyAlignment="1">
      <alignment horizontal="center" vertical="center"/>
    </xf>
    <xf numFmtId="0" fontId="41" fillId="8" borderId="47" xfId="0" applyFont="1" applyFill="1" applyBorder="1" applyAlignment="1">
      <alignment horizontal="center" vertical="center"/>
    </xf>
    <xf numFmtId="165" fontId="42" fillId="8" borderId="1" xfId="4" applyFont="1" applyFill="1" applyBorder="1" applyAlignment="1">
      <alignment horizontal="right" vertical="center"/>
    </xf>
    <xf numFmtId="165" fontId="42" fillId="8" borderId="24" xfId="4" applyFont="1" applyFill="1" applyBorder="1" applyAlignment="1">
      <alignment horizontal="right" vertical="center"/>
    </xf>
    <xf numFmtId="0" fontId="37" fillId="8" borderId="0" xfId="0" applyFont="1" applyFill="1" applyAlignment="1">
      <alignment horizontal="center" vertical="center" wrapText="1"/>
    </xf>
    <xf numFmtId="165" fontId="37" fillId="8" borderId="13" xfId="4" applyFont="1" applyFill="1" applyBorder="1" applyAlignment="1">
      <alignment horizontal="right" vertical="center"/>
    </xf>
    <xf numFmtId="165" fontId="37" fillId="8" borderId="4" xfId="4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5" fontId="37" fillId="8" borderId="11" xfId="4" applyFont="1" applyFill="1" applyBorder="1" applyAlignment="1">
      <alignment horizontal="right" vertical="center"/>
    </xf>
    <xf numFmtId="165" fontId="37" fillId="8" borderId="42" xfId="4" applyFont="1" applyFill="1" applyBorder="1" applyAlignment="1">
      <alignment horizontal="right" vertical="center"/>
    </xf>
    <xf numFmtId="165" fontId="7" fillId="8" borderId="19" xfId="4" applyFont="1" applyFill="1" applyBorder="1" applyAlignment="1">
      <alignment horizontal="right" vertical="center"/>
    </xf>
    <xf numFmtId="165" fontId="7" fillId="8" borderId="20" xfId="4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9" fillId="9" borderId="0" xfId="0" applyFont="1" applyFill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3" fillId="9" borderId="0" xfId="0" applyFont="1" applyFill="1" applyAlignment="1">
      <alignment horizontal="center" wrapText="1"/>
    </xf>
    <xf numFmtId="0" fontId="43" fillId="0" borderId="31" xfId="0" applyFont="1" applyBorder="1" applyAlignment="1">
      <alignment horizontal="center"/>
    </xf>
    <xf numFmtId="0" fontId="43" fillId="0" borderId="22" xfId="0" applyFont="1" applyBorder="1" applyAlignment="1">
      <alignment horizontal="center"/>
    </xf>
  </cellXfs>
  <cellStyles count="8">
    <cellStyle name="Énfasis1" xfId="1" builtinId="29"/>
    <cellStyle name="Euro" xfId="2" xr:uid="{00000000-0005-0000-0000-000001000000}"/>
    <cellStyle name="Millares 4" xfId="3" xr:uid="{00000000-0005-0000-0000-000002000000}"/>
    <cellStyle name="Moneda" xfId="4" builtinId="4"/>
    <cellStyle name="Normal" xfId="0" builtinId="0"/>
    <cellStyle name="Normal 2" xfId="5" xr:uid="{00000000-0005-0000-0000-000005000000}"/>
    <cellStyle name="Normal 4" xfId="6" xr:uid="{00000000-0005-0000-0000-000006000000}"/>
    <cellStyle name="Porcentaje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47625</xdr:rowOff>
    </xdr:from>
    <xdr:to>
      <xdr:col>5</xdr:col>
      <xdr:colOff>85725</xdr:colOff>
      <xdr:row>16</xdr:row>
      <xdr:rowOff>19050</xdr:rowOff>
    </xdr:to>
    <xdr:pic>
      <xdr:nvPicPr>
        <xdr:cNvPr id="17634" name="Imagen 1">
          <a:extLst>
            <a:ext uri="{FF2B5EF4-FFF2-40B4-BE49-F238E27FC236}">
              <a16:creationId xmlns:a16="http://schemas.microsoft.com/office/drawing/2014/main" id="{00000000-0008-0000-0000-0000E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409575"/>
          <a:ext cx="203835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8831" name="Rectangle 3">
          <a:extLst>
            <a:ext uri="{FF2B5EF4-FFF2-40B4-BE49-F238E27FC236}">
              <a16:creationId xmlns:a16="http://schemas.microsoft.com/office/drawing/2014/main" id="{00000000-0008-0000-0300-00008F490000}"/>
            </a:ext>
          </a:extLst>
        </xdr:cNvPr>
        <xdr:cNvSpPr>
          <a:spLocks noChangeArrowheads="1"/>
        </xdr:cNvSpPr>
      </xdr:nvSpPr>
      <xdr:spPr bwMode="auto">
        <a:xfrm>
          <a:off x="93345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1650" name="Rectangle 3">
          <a:extLst>
            <a:ext uri="{FF2B5EF4-FFF2-40B4-BE49-F238E27FC236}">
              <a16:creationId xmlns:a16="http://schemas.microsoft.com/office/drawing/2014/main" id="{00000000-0008-0000-0400-000092540000}"/>
            </a:ext>
          </a:extLst>
        </xdr:cNvPr>
        <xdr:cNvSpPr>
          <a:spLocks noChangeArrowheads="1"/>
        </xdr:cNvSpPr>
      </xdr:nvSpPr>
      <xdr:spPr bwMode="auto">
        <a:xfrm>
          <a:off x="111918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06584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663" name="Rectangle 3">
          <a:extLst>
            <a:ext uri="{FF2B5EF4-FFF2-40B4-BE49-F238E27FC236}">
              <a16:creationId xmlns:a16="http://schemas.microsoft.com/office/drawing/2014/main" id="{00000000-0008-0000-0500-0000B7500000}"/>
            </a:ext>
          </a:extLst>
        </xdr:cNvPr>
        <xdr:cNvSpPr>
          <a:spLocks noChangeArrowheads="1"/>
        </xdr:cNvSpPr>
      </xdr:nvSpPr>
      <xdr:spPr bwMode="auto">
        <a:xfrm>
          <a:off x="69913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5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zoomScaleNormal="100" workbookViewId="0">
      <selection activeCell="A18" sqref="A18:H18"/>
    </sheetView>
  </sheetViews>
  <sheetFormatPr baseColWidth="10" defaultRowHeight="12.75" x14ac:dyDescent="0.2"/>
  <sheetData>
    <row r="1" spans="1:8" ht="15.75" x14ac:dyDescent="0.25">
      <c r="A1" s="557" t="s">
        <v>578</v>
      </c>
      <c r="B1" s="557"/>
      <c r="C1" s="557"/>
      <c r="D1" s="557"/>
      <c r="E1" s="557"/>
      <c r="F1" s="557"/>
      <c r="G1" s="557"/>
      <c r="H1" s="557"/>
    </row>
    <row r="18" spans="1:8" ht="45" customHeight="1" x14ac:dyDescent="0.2">
      <c r="A18" s="558" t="s">
        <v>636</v>
      </c>
      <c r="B18" s="558"/>
      <c r="C18" s="558"/>
      <c r="D18" s="558"/>
      <c r="E18" s="558"/>
      <c r="F18" s="558"/>
      <c r="G18" s="558"/>
      <c r="H18" s="558"/>
    </row>
  </sheetData>
  <mergeCells count="2">
    <mergeCell ref="A1:H1"/>
    <mergeCell ref="A18:H18"/>
  </mergeCells>
  <pageMargins left="0.7" right="0.7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view="pageBreakPreview" topLeftCell="A10" zoomScale="106" zoomScaleSheetLayoutView="106" workbookViewId="0">
      <selection sqref="A1:H1"/>
    </sheetView>
  </sheetViews>
  <sheetFormatPr baseColWidth="10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0.28515625" style="24" customWidth="1"/>
    <col min="7" max="7" width="43.140625" style="19" customWidth="1"/>
    <col min="8" max="8" width="19.28515625" style="4" customWidth="1"/>
    <col min="9" max="10" width="11.42578125" style="21"/>
    <col min="11" max="11" width="12.28515625" style="21" bestFit="1" customWidth="1"/>
    <col min="12" max="16384" width="11.42578125" style="21"/>
  </cols>
  <sheetData>
    <row r="1" spans="1:11" ht="20.25" x14ac:dyDescent="0.25">
      <c r="A1" s="560"/>
      <c r="B1" s="560"/>
      <c r="C1" s="560"/>
      <c r="D1" s="560"/>
      <c r="E1" s="560"/>
      <c r="F1" s="560"/>
      <c r="G1" s="560"/>
      <c r="H1" s="560"/>
      <c r="I1" s="5"/>
    </row>
    <row r="2" spans="1:11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620"/>
    </row>
    <row r="3" spans="1:11" ht="15.75" x14ac:dyDescent="0.25">
      <c r="A3" s="624" t="s">
        <v>174</v>
      </c>
      <c r="B3" s="557"/>
      <c r="C3" s="557"/>
      <c r="D3" s="557"/>
      <c r="E3" s="557"/>
      <c r="F3" s="557"/>
      <c r="G3" s="557"/>
      <c r="H3" s="557"/>
    </row>
    <row r="4" spans="1:11" ht="15" x14ac:dyDescent="0.2">
      <c r="A4" s="635" t="s">
        <v>373</v>
      </c>
      <c r="B4" s="636"/>
      <c r="C4" s="636"/>
      <c r="D4" s="636"/>
      <c r="E4" s="636"/>
      <c r="F4" s="636"/>
      <c r="G4" s="636"/>
      <c r="H4" s="636"/>
    </row>
    <row r="5" spans="1:11" ht="15" x14ac:dyDescent="0.2">
      <c r="A5" s="635" t="s">
        <v>11</v>
      </c>
      <c r="B5" s="636"/>
      <c r="C5" s="636"/>
      <c r="D5" s="636"/>
      <c r="E5" s="636"/>
      <c r="F5" s="636"/>
      <c r="G5" s="636"/>
      <c r="H5" s="636"/>
    </row>
    <row r="6" spans="1:11" ht="8.25" customHeight="1" x14ac:dyDescent="0.25">
      <c r="A6" s="637"/>
      <c r="B6" s="638"/>
      <c r="C6" s="638"/>
      <c r="D6" s="638"/>
      <c r="E6" s="638"/>
      <c r="F6" s="638"/>
      <c r="G6" s="638"/>
      <c r="H6" s="638"/>
    </row>
    <row r="7" spans="1:11" ht="15.75" x14ac:dyDescent="0.25">
      <c r="A7" s="647" t="s">
        <v>176</v>
      </c>
      <c r="B7" s="647"/>
      <c r="C7" s="647"/>
      <c r="D7" s="647"/>
      <c r="E7" s="647"/>
      <c r="F7" s="647"/>
      <c r="G7" s="647"/>
      <c r="H7" s="647"/>
    </row>
    <row r="8" spans="1:11" ht="16.5" thickBot="1" x14ac:dyDescent="0.3">
      <c r="A8" s="648" t="s">
        <v>195</v>
      </c>
      <c r="B8" s="648"/>
      <c r="C8" s="648"/>
      <c r="D8" s="648"/>
      <c r="E8" s="648"/>
      <c r="F8" s="648"/>
      <c r="G8" s="648"/>
      <c r="H8" s="648"/>
    </row>
    <row r="9" spans="1:11" ht="13.5" thickBot="1" x14ac:dyDescent="0.25">
      <c r="A9" s="664" t="s">
        <v>0</v>
      </c>
      <c r="B9" s="665"/>
      <c r="C9" s="665"/>
      <c r="D9" s="665"/>
      <c r="E9" s="665"/>
      <c r="F9" s="665"/>
      <c r="G9" s="657" t="s">
        <v>151</v>
      </c>
      <c r="H9" s="659" t="s">
        <v>152</v>
      </c>
    </row>
    <row r="10" spans="1:11" s="22" customFormat="1" ht="200.25" customHeight="1" thickBot="1" x14ac:dyDescent="0.25">
      <c r="A10" s="75" t="s">
        <v>144</v>
      </c>
      <c r="B10" s="76" t="s">
        <v>145</v>
      </c>
      <c r="C10" s="76" t="s">
        <v>122</v>
      </c>
      <c r="D10" s="76" t="s">
        <v>146</v>
      </c>
      <c r="E10" s="78" t="s">
        <v>153</v>
      </c>
      <c r="F10" s="77" t="s">
        <v>99</v>
      </c>
      <c r="G10" s="658"/>
      <c r="H10" s="660"/>
    </row>
    <row r="11" spans="1:11" ht="15.75" customHeight="1" x14ac:dyDescent="0.2">
      <c r="A11" s="9">
        <v>3</v>
      </c>
      <c r="B11" s="10" t="s">
        <v>94</v>
      </c>
      <c r="C11" s="10" t="s">
        <v>49</v>
      </c>
      <c r="D11" s="10" t="s">
        <v>51</v>
      </c>
      <c r="E11" s="10" t="s">
        <v>196</v>
      </c>
      <c r="F11" s="11" t="s">
        <v>173</v>
      </c>
      <c r="G11" s="12" t="s">
        <v>155</v>
      </c>
      <c r="H11" s="14"/>
    </row>
    <row r="12" spans="1:11" ht="15.75" customHeight="1" x14ac:dyDescent="0.2">
      <c r="A12" s="8">
        <v>3</v>
      </c>
      <c r="B12" s="1" t="s">
        <v>94</v>
      </c>
      <c r="C12" s="1" t="s">
        <v>49</v>
      </c>
      <c r="D12" s="1" t="s">
        <v>51</v>
      </c>
      <c r="E12" s="10" t="s">
        <v>196</v>
      </c>
      <c r="F12" s="2">
        <v>54111</v>
      </c>
      <c r="G12" s="6" t="s">
        <v>47</v>
      </c>
      <c r="H12" s="15"/>
    </row>
    <row r="13" spans="1:11" ht="15.75" customHeight="1" x14ac:dyDescent="0.2">
      <c r="A13" s="8">
        <v>3</v>
      </c>
      <c r="B13" s="1" t="s">
        <v>94</v>
      </c>
      <c r="C13" s="1" t="s">
        <v>49</v>
      </c>
      <c r="D13" s="1" t="s">
        <v>51</v>
      </c>
      <c r="E13" s="10" t="s">
        <v>196</v>
      </c>
      <c r="F13" s="2">
        <v>54112</v>
      </c>
      <c r="G13" s="6" t="s">
        <v>46</v>
      </c>
      <c r="H13" s="15"/>
    </row>
    <row r="14" spans="1:11" ht="15.75" customHeight="1" x14ac:dyDescent="0.2">
      <c r="A14" s="8">
        <v>3</v>
      </c>
      <c r="B14" s="1" t="s">
        <v>94</v>
      </c>
      <c r="C14" s="1" t="s">
        <v>49</v>
      </c>
      <c r="D14" s="1" t="s">
        <v>51</v>
      </c>
      <c r="E14" s="10" t="s">
        <v>196</v>
      </c>
      <c r="F14" s="2">
        <v>54199</v>
      </c>
      <c r="G14" s="6" t="s">
        <v>163</v>
      </c>
      <c r="H14" s="15"/>
    </row>
    <row r="15" spans="1:11" ht="15.75" customHeight="1" x14ac:dyDescent="0.2">
      <c r="A15" s="8">
        <v>3</v>
      </c>
      <c r="B15" s="1" t="s">
        <v>94</v>
      </c>
      <c r="C15" s="1" t="s">
        <v>49</v>
      </c>
      <c r="D15" s="1" t="s">
        <v>51</v>
      </c>
      <c r="E15" s="10" t="s">
        <v>196</v>
      </c>
      <c r="F15" s="2">
        <v>54313</v>
      </c>
      <c r="G15" s="6" t="s">
        <v>180</v>
      </c>
      <c r="H15" s="15"/>
    </row>
    <row r="16" spans="1:11" ht="15.75" customHeight="1" x14ac:dyDescent="0.2">
      <c r="A16" s="8">
        <v>3</v>
      </c>
      <c r="B16" s="1" t="s">
        <v>94</v>
      </c>
      <c r="C16" s="1" t="s">
        <v>49</v>
      </c>
      <c r="D16" s="1" t="s">
        <v>51</v>
      </c>
      <c r="E16" s="10" t="s">
        <v>196</v>
      </c>
      <c r="F16" s="2">
        <v>54316</v>
      </c>
      <c r="G16" s="6" t="s">
        <v>181</v>
      </c>
      <c r="H16" s="15"/>
      <c r="J16" s="21">
        <v>54</v>
      </c>
      <c r="K16" s="86">
        <f>SUM(H17)</f>
        <v>0</v>
      </c>
    </row>
    <row r="17" spans="1:11" ht="15.75" customHeight="1" x14ac:dyDescent="0.2">
      <c r="A17" s="8">
        <v>3</v>
      </c>
      <c r="B17" s="1" t="s">
        <v>94</v>
      </c>
      <c r="C17" s="1" t="s">
        <v>49</v>
      </c>
      <c r="D17" s="1" t="s">
        <v>51</v>
      </c>
      <c r="E17" s="10" t="s">
        <v>196</v>
      </c>
      <c r="F17" s="2">
        <v>54599</v>
      </c>
      <c r="G17" s="6" t="s">
        <v>185</v>
      </c>
      <c r="H17" s="15"/>
      <c r="J17" s="21">
        <v>61</v>
      </c>
      <c r="K17" s="86">
        <f>SUM(H20:H25)</f>
        <v>0</v>
      </c>
    </row>
    <row r="18" spans="1:11" ht="15.75" customHeight="1" x14ac:dyDescent="0.2">
      <c r="A18" s="8">
        <v>3</v>
      </c>
      <c r="B18" s="1" t="s">
        <v>94</v>
      </c>
      <c r="C18" s="1" t="s">
        <v>49</v>
      </c>
      <c r="D18" s="1" t="s">
        <v>51</v>
      </c>
      <c r="E18" s="10" t="s">
        <v>196</v>
      </c>
      <c r="F18" s="2">
        <v>55601</v>
      </c>
      <c r="G18" s="6" t="s">
        <v>93</v>
      </c>
      <c r="H18" s="15"/>
      <c r="K18" s="86">
        <f>SUM(K16:K17)</f>
        <v>0</v>
      </c>
    </row>
    <row r="19" spans="1:11" ht="15.75" customHeight="1" x14ac:dyDescent="0.2">
      <c r="A19" s="8">
        <v>3</v>
      </c>
      <c r="B19" s="1" t="s">
        <v>94</v>
      </c>
      <c r="C19" s="1" t="s">
        <v>49</v>
      </c>
      <c r="D19" s="1" t="s">
        <v>51</v>
      </c>
      <c r="E19" s="10" t="s">
        <v>196</v>
      </c>
      <c r="F19" s="2">
        <v>55603</v>
      </c>
      <c r="G19" s="6" t="s">
        <v>168</v>
      </c>
      <c r="H19" s="15"/>
    </row>
    <row r="20" spans="1:11" ht="15.75" customHeight="1" x14ac:dyDescent="0.2">
      <c r="A20" s="8">
        <v>3</v>
      </c>
      <c r="B20" s="1" t="s">
        <v>94</v>
      </c>
      <c r="C20" s="1" t="s">
        <v>49</v>
      </c>
      <c r="D20" s="1" t="s">
        <v>51</v>
      </c>
      <c r="E20" s="10" t="s">
        <v>196</v>
      </c>
      <c r="F20" s="2">
        <v>61101</v>
      </c>
      <c r="G20" s="6" t="s">
        <v>187</v>
      </c>
      <c r="H20" s="15">
        <v>0</v>
      </c>
    </row>
    <row r="21" spans="1:11" ht="15.75" customHeight="1" x14ac:dyDescent="0.2">
      <c r="A21" s="8">
        <v>3</v>
      </c>
      <c r="B21" s="1" t="s">
        <v>94</v>
      </c>
      <c r="C21" s="1" t="s">
        <v>49</v>
      </c>
      <c r="D21" s="1" t="s">
        <v>51</v>
      </c>
      <c r="E21" s="10" t="s">
        <v>196</v>
      </c>
      <c r="F21" s="2">
        <v>61102</v>
      </c>
      <c r="G21" s="6" t="s">
        <v>188</v>
      </c>
      <c r="H21" s="15"/>
    </row>
    <row r="22" spans="1:11" ht="15.75" customHeight="1" x14ac:dyDescent="0.2">
      <c r="A22" s="8">
        <v>3</v>
      </c>
      <c r="B22" s="1" t="s">
        <v>94</v>
      </c>
      <c r="C22" s="1" t="s">
        <v>49</v>
      </c>
      <c r="D22" s="1" t="s">
        <v>51</v>
      </c>
      <c r="E22" s="10" t="s">
        <v>196</v>
      </c>
      <c r="F22" s="2">
        <v>61599</v>
      </c>
      <c r="G22" s="6" t="s">
        <v>189</v>
      </c>
      <c r="H22" s="15"/>
    </row>
    <row r="23" spans="1:11" ht="15.75" customHeight="1" x14ac:dyDescent="0.2">
      <c r="A23" s="8">
        <v>3</v>
      </c>
      <c r="B23" s="1" t="s">
        <v>94</v>
      </c>
      <c r="C23" s="1" t="s">
        <v>49</v>
      </c>
      <c r="D23" s="1" t="s">
        <v>51</v>
      </c>
      <c r="E23" s="10" t="s">
        <v>196</v>
      </c>
      <c r="F23" s="2">
        <v>61601</v>
      </c>
      <c r="G23" s="6" t="s">
        <v>190</v>
      </c>
      <c r="H23" s="15"/>
    </row>
    <row r="24" spans="1:11" ht="15.75" customHeight="1" x14ac:dyDescent="0.2">
      <c r="A24" s="8">
        <v>3</v>
      </c>
      <c r="B24" s="1" t="s">
        <v>94</v>
      </c>
      <c r="C24" s="1" t="s">
        <v>49</v>
      </c>
      <c r="D24" s="1" t="s">
        <v>51</v>
      </c>
      <c r="E24" s="10" t="s">
        <v>196</v>
      </c>
      <c r="F24" s="2">
        <v>61608</v>
      </c>
      <c r="G24" s="6" t="s">
        <v>192</v>
      </c>
      <c r="H24" s="15"/>
    </row>
    <row r="25" spans="1:11" ht="15.75" customHeight="1" x14ac:dyDescent="0.2">
      <c r="A25" s="8">
        <v>3</v>
      </c>
      <c r="B25" s="1" t="s">
        <v>94</v>
      </c>
      <c r="C25" s="1" t="s">
        <v>49</v>
      </c>
      <c r="D25" s="1" t="s">
        <v>51</v>
      </c>
      <c r="E25" s="10" t="s">
        <v>196</v>
      </c>
      <c r="F25" s="2">
        <v>61699</v>
      </c>
      <c r="G25" s="6" t="s">
        <v>193</v>
      </c>
      <c r="H25" s="15"/>
    </row>
    <row r="26" spans="1:11" ht="15.75" customHeight="1" thickBot="1" x14ac:dyDescent="0.25">
      <c r="A26" s="18"/>
      <c r="B26" s="16"/>
      <c r="C26" s="16"/>
      <c r="D26" s="16"/>
      <c r="E26" s="16"/>
      <c r="F26" s="3"/>
      <c r="G26" s="7"/>
      <c r="H26" s="17"/>
    </row>
    <row r="27" spans="1:11" ht="20.100000000000001" customHeight="1" thickBot="1" x14ac:dyDescent="0.3">
      <c r="A27" s="661"/>
      <c r="B27" s="662"/>
      <c r="C27" s="662"/>
      <c r="D27" s="662"/>
      <c r="E27" s="662"/>
      <c r="F27" s="663"/>
      <c r="G27" s="79" t="s">
        <v>194</v>
      </c>
      <c r="H27" s="80">
        <f>SUM(H11:H26)</f>
        <v>0</v>
      </c>
    </row>
    <row r="28" spans="1:11" x14ac:dyDescent="0.2">
      <c r="A28" s="23"/>
      <c r="B28" s="23"/>
      <c r="C28" s="23"/>
      <c r="D28" s="23"/>
      <c r="E28" s="23"/>
      <c r="F28" s="23"/>
      <c r="H28" s="38"/>
    </row>
    <row r="29" spans="1:11" ht="15.75" x14ac:dyDescent="0.25">
      <c r="A29" s="34"/>
      <c r="B29" s="34"/>
      <c r="C29" s="34"/>
      <c r="D29" s="34"/>
      <c r="E29" s="34"/>
      <c r="F29" s="34"/>
      <c r="G29" s="39"/>
      <c r="H29" s="39"/>
    </row>
    <row r="30" spans="1:11" ht="19.5" customHeight="1" x14ac:dyDescent="0.2">
      <c r="A30" s="651" t="s">
        <v>12</v>
      </c>
      <c r="B30" s="651"/>
      <c r="C30" s="651"/>
      <c r="D30" s="651"/>
      <c r="E30" s="651"/>
      <c r="F30" s="651"/>
    </row>
    <row r="31" spans="1:11" x14ac:dyDescent="0.2">
      <c r="A31" s="646" t="s">
        <v>2</v>
      </c>
      <c r="B31" s="646"/>
      <c r="C31" s="646"/>
      <c r="D31" s="646"/>
      <c r="E31" s="646"/>
      <c r="F31" s="646"/>
      <c r="G31" s="646"/>
    </row>
    <row r="32" spans="1:11" x14ac:dyDescent="0.2">
      <c r="A32" s="646" t="s">
        <v>8</v>
      </c>
      <c r="B32" s="646"/>
      <c r="C32" s="646"/>
      <c r="D32" s="646"/>
      <c r="E32" s="646"/>
      <c r="F32" s="646"/>
      <c r="G32" s="646"/>
    </row>
    <row r="33" spans="1:7" x14ac:dyDescent="0.2">
      <c r="A33" s="646" t="s">
        <v>9</v>
      </c>
      <c r="B33" s="646"/>
      <c r="C33" s="646"/>
      <c r="D33" s="646"/>
      <c r="E33" s="646"/>
      <c r="F33" s="646"/>
      <c r="G33" s="646"/>
    </row>
    <row r="34" spans="1:7" x14ac:dyDescent="0.2">
      <c r="A34" s="646"/>
      <c r="B34" s="646"/>
      <c r="C34" s="646"/>
      <c r="D34" s="646"/>
      <c r="E34" s="646"/>
      <c r="F34" s="646"/>
      <c r="G34" s="646"/>
    </row>
  </sheetData>
  <mergeCells count="18">
    <mergeCell ref="A34:G34"/>
    <mergeCell ref="A7:H7"/>
    <mergeCell ref="A8:H8"/>
    <mergeCell ref="A9:F9"/>
    <mergeCell ref="G9:G10"/>
    <mergeCell ref="H9:H10"/>
    <mergeCell ref="A32:G32"/>
    <mergeCell ref="A33:G33"/>
    <mergeCell ref="A31:G31"/>
    <mergeCell ref="A6:H6"/>
    <mergeCell ref="A2:I2"/>
    <mergeCell ref="A27:F27"/>
    <mergeCell ref="A30:F30"/>
    <mergeCell ref="A1:D1"/>
    <mergeCell ref="E1:H1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85"/>
  <sheetViews>
    <sheetView view="pageBreakPreview" zoomScale="86" zoomScaleNormal="100" zoomScaleSheetLayoutView="86" workbookViewId="0">
      <selection activeCell="H67" sqref="H67"/>
    </sheetView>
  </sheetViews>
  <sheetFormatPr baseColWidth="10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0.28515625" style="24" customWidth="1"/>
    <col min="7" max="7" width="49.28515625" style="19" customWidth="1"/>
    <col min="8" max="8" width="21.28515625" style="4" customWidth="1"/>
    <col min="9" max="9" width="11.42578125" style="207"/>
    <col min="10" max="10" width="14.7109375" style="194" bestFit="1" customWidth="1"/>
    <col min="11" max="11" width="13.7109375" style="21" bestFit="1" customWidth="1"/>
    <col min="12" max="16384" width="11.42578125" style="21"/>
  </cols>
  <sheetData>
    <row r="1" spans="1:11" ht="20.25" x14ac:dyDescent="0.25">
      <c r="A1" s="560"/>
      <c r="B1" s="560"/>
      <c r="C1" s="560"/>
      <c r="D1" s="560"/>
      <c r="E1" s="560"/>
      <c r="F1" s="560"/>
      <c r="G1" s="560"/>
      <c r="H1" s="560"/>
      <c r="I1" s="206"/>
    </row>
    <row r="2" spans="1:11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620"/>
    </row>
    <row r="3" spans="1:11" ht="15.75" x14ac:dyDescent="0.25">
      <c r="A3" s="624" t="s">
        <v>216</v>
      </c>
      <c r="B3" s="557"/>
      <c r="C3" s="557"/>
      <c r="D3" s="557"/>
      <c r="E3" s="557"/>
      <c r="F3" s="557"/>
      <c r="G3" s="557"/>
      <c r="H3" s="557"/>
      <c r="K3" s="86"/>
    </row>
    <row r="4" spans="1:11" ht="15.75" x14ac:dyDescent="0.25">
      <c r="A4" s="624" t="s">
        <v>640</v>
      </c>
      <c r="B4" s="557"/>
      <c r="C4" s="557"/>
      <c r="D4" s="557"/>
      <c r="E4" s="557"/>
      <c r="F4" s="557"/>
      <c r="G4" s="557"/>
      <c r="H4" s="557"/>
      <c r="K4" s="86"/>
    </row>
    <row r="5" spans="1:11" ht="15" x14ac:dyDescent="0.2">
      <c r="A5" s="635" t="s">
        <v>11</v>
      </c>
      <c r="B5" s="636"/>
      <c r="C5" s="636"/>
      <c r="D5" s="636"/>
      <c r="E5" s="636"/>
      <c r="F5" s="636"/>
      <c r="G5" s="636"/>
      <c r="H5" s="636"/>
    </row>
    <row r="6" spans="1:11" ht="8.25" customHeight="1" x14ac:dyDescent="0.25">
      <c r="A6" s="637"/>
      <c r="B6" s="638"/>
      <c r="C6" s="638"/>
      <c r="D6" s="638"/>
      <c r="E6" s="638"/>
      <c r="F6" s="638"/>
      <c r="G6" s="638"/>
      <c r="H6" s="638"/>
    </row>
    <row r="7" spans="1:11" ht="15.75" x14ac:dyDescent="0.25">
      <c r="A7" s="647" t="s">
        <v>176</v>
      </c>
      <c r="B7" s="647"/>
      <c r="C7" s="647"/>
      <c r="D7" s="647"/>
      <c r="E7" s="647"/>
      <c r="F7" s="647"/>
      <c r="G7" s="647"/>
      <c r="H7" s="647"/>
      <c r="K7" s="86"/>
    </row>
    <row r="8" spans="1:11" ht="16.5" thickBot="1" x14ac:dyDescent="0.3">
      <c r="A8" s="648" t="s">
        <v>149</v>
      </c>
      <c r="B8" s="648"/>
      <c r="C8" s="648"/>
      <c r="D8" s="648"/>
      <c r="E8" s="648"/>
      <c r="F8" s="648"/>
      <c r="G8" s="648"/>
      <c r="H8" s="648"/>
      <c r="K8" s="86"/>
    </row>
    <row r="9" spans="1:11" ht="15.75" thickBot="1" x14ac:dyDescent="0.3">
      <c r="A9" s="649" t="s">
        <v>0</v>
      </c>
      <c r="B9" s="650"/>
      <c r="C9" s="650"/>
      <c r="D9" s="650"/>
      <c r="E9" s="650"/>
      <c r="F9" s="650"/>
      <c r="G9" s="631" t="s">
        <v>151</v>
      </c>
      <c r="H9" s="633" t="s">
        <v>152</v>
      </c>
      <c r="K9" s="86"/>
    </row>
    <row r="10" spans="1:11" s="22" customFormat="1" ht="200.25" customHeight="1" thickBot="1" x14ac:dyDescent="0.25">
      <c r="A10" s="330" t="s">
        <v>144</v>
      </c>
      <c r="B10" s="331" t="s">
        <v>145</v>
      </c>
      <c r="C10" s="331" t="s">
        <v>122</v>
      </c>
      <c r="D10" s="331" t="s">
        <v>146</v>
      </c>
      <c r="E10" s="332" t="s">
        <v>153</v>
      </c>
      <c r="F10" s="333" t="s">
        <v>99</v>
      </c>
      <c r="G10" s="632"/>
      <c r="H10" s="634"/>
      <c r="I10" s="87"/>
      <c r="J10" s="199"/>
    </row>
    <row r="11" spans="1:11" ht="15.75" customHeight="1" x14ac:dyDescent="0.2">
      <c r="A11" s="9">
        <v>4</v>
      </c>
      <c r="B11" s="10" t="s">
        <v>409</v>
      </c>
      <c r="C11" s="10" t="s">
        <v>49</v>
      </c>
      <c r="D11" s="10" t="s">
        <v>51</v>
      </c>
      <c r="E11" s="10" t="s">
        <v>54</v>
      </c>
      <c r="F11" s="11" t="s">
        <v>34</v>
      </c>
      <c r="G11" s="274" t="s">
        <v>35</v>
      </c>
      <c r="H11" s="238">
        <v>0</v>
      </c>
    </row>
    <row r="12" spans="1:11" ht="15.75" customHeight="1" x14ac:dyDescent="0.2">
      <c r="A12" s="9"/>
      <c r="B12" s="10"/>
      <c r="C12" s="10"/>
      <c r="D12" s="10"/>
      <c r="E12" s="10"/>
      <c r="F12" s="11" t="s">
        <v>543</v>
      </c>
      <c r="G12" s="12" t="s">
        <v>36</v>
      </c>
      <c r="H12" s="239"/>
    </row>
    <row r="13" spans="1:11" ht="15.75" customHeight="1" x14ac:dyDescent="0.2">
      <c r="A13" s="9" t="s">
        <v>659</v>
      </c>
      <c r="B13" s="10"/>
      <c r="C13" s="10"/>
      <c r="D13" s="10"/>
      <c r="E13" s="10"/>
      <c r="F13" s="11" t="s">
        <v>544</v>
      </c>
      <c r="G13" s="12" t="s">
        <v>534</v>
      </c>
      <c r="H13" s="239"/>
    </row>
    <row r="14" spans="1:11" ht="15.75" customHeight="1" x14ac:dyDescent="0.2">
      <c r="A14" s="9"/>
      <c r="B14" s="10"/>
      <c r="C14" s="10"/>
      <c r="D14" s="10"/>
      <c r="E14" s="10"/>
      <c r="F14" s="276" t="s">
        <v>173</v>
      </c>
      <c r="G14" s="277" t="s">
        <v>155</v>
      </c>
      <c r="H14" s="275">
        <v>0</v>
      </c>
    </row>
    <row r="15" spans="1:11" ht="15.75" customHeight="1" x14ac:dyDescent="0.2">
      <c r="A15" s="9"/>
      <c r="B15" s="10"/>
      <c r="C15" s="10"/>
      <c r="D15" s="10"/>
      <c r="E15" s="10"/>
      <c r="F15" s="11" t="s">
        <v>545</v>
      </c>
      <c r="G15" s="12" t="s">
        <v>609</v>
      </c>
      <c r="H15" s="275">
        <v>0</v>
      </c>
    </row>
    <row r="16" spans="1:11" ht="15.75" customHeight="1" x14ac:dyDescent="0.2">
      <c r="A16" s="9"/>
      <c r="B16" s="10"/>
      <c r="C16" s="10"/>
      <c r="D16" s="10"/>
      <c r="E16" s="10"/>
      <c r="F16" s="11" t="s">
        <v>546</v>
      </c>
      <c r="G16" s="12" t="s">
        <v>539</v>
      </c>
      <c r="H16" s="275">
        <v>0</v>
      </c>
    </row>
    <row r="17" spans="1:10" ht="15.75" customHeight="1" x14ac:dyDescent="0.2">
      <c r="A17" s="9"/>
      <c r="B17" s="10"/>
      <c r="C17" s="10"/>
      <c r="D17" s="10"/>
      <c r="E17" s="10"/>
      <c r="F17" s="276" t="s">
        <v>562</v>
      </c>
      <c r="G17" s="277" t="s">
        <v>172</v>
      </c>
      <c r="H17" s="275">
        <v>0</v>
      </c>
    </row>
    <row r="18" spans="1:10" ht="15.75" customHeight="1" x14ac:dyDescent="0.2">
      <c r="A18" s="9">
        <v>4</v>
      </c>
      <c r="B18" s="10" t="s">
        <v>409</v>
      </c>
      <c r="C18" s="10" t="s">
        <v>219</v>
      </c>
      <c r="D18" s="10" t="s">
        <v>51</v>
      </c>
      <c r="E18" s="10" t="s">
        <v>54</v>
      </c>
      <c r="F18" s="276" t="s">
        <v>217</v>
      </c>
      <c r="G18" s="277" t="s">
        <v>218</v>
      </c>
      <c r="H18" s="275">
        <v>0</v>
      </c>
    </row>
    <row r="19" spans="1:10" ht="15.75" customHeight="1" x14ac:dyDescent="0.2">
      <c r="A19" s="9">
        <v>4</v>
      </c>
      <c r="B19" s="10" t="s">
        <v>409</v>
      </c>
      <c r="C19" s="10" t="s">
        <v>219</v>
      </c>
      <c r="D19" s="10" t="s">
        <v>51</v>
      </c>
      <c r="E19" s="10" t="s">
        <v>54</v>
      </c>
      <c r="F19" s="204">
        <v>54101</v>
      </c>
      <c r="G19" s="205" t="s">
        <v>38</v>
      </c>
      <c r="H19" s="240">
        <v>0</v>
      </c>
    </row>
    <row r="20" spans="1:10" ht="15.75" customHeight="1" x14ac:dyDescent="0.2">
      <c r="A20" s="9">
        <v>4</v>
      </c>
      <c r="B20" s="10" t="s">
        <v>409</v>
      </c>
      <c r="C20" s="10" t="s">
        <v>219</v>
      </c>
      <c r="D20" s="10" t="s">
        <v>51</v>
      </c>
      <c r="E20" s="10" t="s">
        <v>54</v>
      </c>
      <c r="F20" s="2">
        <v>54103</v>
      </c>
      <c r="G20" s="6" t="s">
        <v>177</v>
      </c>
      <c r="H20" s="241">
        <v>0</v>
      </c>
    </row>
    <row r="21" spans="1:10" ht="15.75" customHeight="1" x14ac:dyDescent="0.2">
      <c r="A21" s="9">
        <v>4</v>
      </c>
      <c r="B21" s="10" t="s">
        <v>409</v>
      </c>
      <c r="C21" s="10" t="s">
        <v>219</v>
      </c>
      <c r="D21" s="10" t="s">
        <v>51</v>
      </c>
      <c r="E21" s="10" t="s">
        <v>54</v>
      </c>
      <c r="F21" s="2">
        <v>54104</v>
      </c>
      <c r="G21" s="6" t="s">
        <v>156</v>
      </c>
      <c r="H21" s="240">
        <v>0</v>
      </c>
    </row>
    <row r="22" spans="1:10" ht="15.75" customHeight="1" x14ac:dyDescent="0.2">
      <c r="A22" s="9">
        <v>4</v>
      </c>
      <c r="B22" s="10" t="s">
        <v>409</v>
      </c>
      <c r="C22" s="10" t="s">
        <v>219</v>
      </c>
      <c r="D22" s="10" t="s">
        <v>51</v>
      </c>
      <c r="E22" s="10" t="s">
        <v>54</v>
      </c>
      <c r="F22" s="2">
        <v>54105</v>
      </c>
      <c r="G22" s="6" t="s">
        <v>563</v>
      </c>
      <c r="H22" s="240">
        <v>0</v>
      </c>
    </row>
    <row r="23" spans="1:10" ht="15.75" customHeight="1" x14ac:dyDescent="0.2">
      <c r="A23" s="9">
        <v>4</v>
      </c>
      <c r="B23" s="10" t="s">
        <v>409</v>
      </c>
      <c r="C23" s="10" t="s">
        <v>219</v>
      </c>
      <c r="D23" s="10" t="s">
        <v>51</v>
      </c>
      <c r="E23" s="10" t="s">
        <v>54</v>
      </c>
      <c r="F23" s="2">
        <v>54106</v>
      </c>
      <c r="G23" s="6" t="s">
        <v>178</v>
      </c>
      <c r="H23" s="240">
        <v>0</v>
      </c>
    </row>
    <row r="24" spans="1:10" ht="15.75" customHeight="1" x14ac:dyDescent="0.2">
      <c r="A24" s="9">
        <v>4</v>
      </c>
      <c r="B24" s="10" t="s">
        <v>409</v>
      </c>
      <c r="C24" s="10" t="s">
        <v>219</v>
      </c>
      <c r="D24" s="10" t="s">
        <v>51</v>
      </c>
      <c r="E24" s="10" t="s">
        <v>54</v>
      </c>
      <c r="F24" s="2">
        <v>54107</v>
      </c>
      <c r="G24" s="6" t="s">
        <v>158</v>
      </c>
      <c r="H24" s="240">
        <v>0</v>
      </c>
    </row>
    <row r="25" spans="1:10" ht="15.75" customHeight="1" x14ac:dyDescent="0.2">
      <c r="A25" s="9">
        <v>4</v>
      </c>
      <c r="B25" s="10" t="s">
        <v>409</v>
      </c>
      <c r="C25" s="10" t="s">
        <v>219</v>
      </c>
      <c r="D25" s="10" t="s">
        <v>51</v>
      </c>
      <c r="E25" s="10" t="s">
        <v>54</v>
      </c>
      <c r="F25" s="2">
        <v>54109</v>
      </c>
      <c r="G25" s="6" t="s">
        <v>347</v>
      </c>
      <c r="H25" s="240">
        <v>0</v>
      </c>
    </row>
    <row r="26" spans="1:10" ht="15.75" customHeight="1" x14ac:dyDescent="0.2">
      <c r="A26" s="9">
        <v>4</v>
      </c>
      <c r="B26" s="10" t="s">
        <v>409</v>
      </c>
      <c r="C26" s="10" t="s">
        <v>219</v>
      </c>
      <c r="D26" s="10" t="s">
        <v>51</v>
      </c>
      <c r="E26" s="10" t="s">
        <v>54</v>
      </c>
      <c r="F26" s="2">
        <v>54110</v>
      </c>
      <c r="G26" s="6" t="s">
        <v>40</v>
      </c>
      <c r="H26" s="240">
        <v>0</v>
      </c>
    </row>
    <row r="27" spans="1:10" ht="15.75" customHeight="1" x14ac:dyDescent="0.2">
      <c r="A27" s="9">
        <v>4</v>
      </c>
      <c r="B27" s="10" t="s">
        <v>409</v>
      </c>
      <c r="C27" s="10" t="s">
        <v>219</v>
      </c>
      <c r="D27" s="10" t="s">
        <v>51</v>
      </c>
      <c r="E27" s="10" t="s">
        <v>54</v>
      </c>
      <c r="F27" s="2">
        <v>54111</v>
      </c>
      <c r="G27" s="6" t="s">
        <v>47</v>
      </c>
      <c r="H27" s="240">
        <v>0</v>
      </c>
    </row>
    <row r="28" spans="1:10" ht="15.75" customHeight="1" x14ac:dyDescent="0.2">
      <c r="A28" s="9">
        <v>4</v>
      </c>
      <c r="B28" s="10" t="s">
        <v>409</v>
      </c>
      <c r="C28" s="10" t="s">
        <v>219</v>
      </c>
      <c r="D28" s="10" t="s">
        <v>51</v>
      </c>
      <c r="E28" s="10" t="s">
        <v>54</v>
      </c>
      <c r="F28" s="2">
        <v>54112</v>
      </c>
      <c r="G28" s="6" t="s">
        <v>46</v>
      </c>
      <c r="H28" s="240">
        <v>0</v>
      </c>
    </row>
    <row r="29" spans="1:10" ht="15.75" customHeight="1" x14ac:dyDescent="0.2">
      <c r="A29" s="9">
        <v>4</v>
      </c>
      <c r="B29" s="10" t="s">
        <v>409</v>
      </c>
      <c r="C29" s="10" t="s">
        <v>219</v>
      </c>
      <c r="D29" s="10" t="s">
        <v>51</v>
      </c>
      <c r="E29" s="10" t="s">
        <v>54</v>
      </c>
      <c r="F29" s="2">
        <v>54115</v>
      </c>
      <c r="G29" s="6" t="s">
        <v>577</v>
      </c>
      <c r="H29" s="240">
        <v>0</v>
      </c>
    </row>
    <row r="30" spans="1:10" ht="15.75" customHeight="1" x14ac:dyDescent="0.2">
      <c r="A30" s="9">
        <v>4</v>
      </c>
      <c r="B30" s="10" t="s">
        <v>409</v>
      </c>
      <c r="C30" s="10" t="s">
        <v>219</v>
      </c>
      <c r="D30" s="10" t="s">
        <v>51</v>
      </c>
      <c r="E30" s="10" t="s">
        <v>54</v>
      </c>
      <c r="F30" s="2">
        <v>54118</v>
      </c>
      <c r="G30" s="6" t="s">
        <v>361</v>
      </c>
      <c r="H30" s="240">
        <v>0</v>
      </c>
    </row>
    <row r="31" spans="1:10" ht="15.75" customHeight="1" x14ac:dyDescent="0.2">
      <c r="A31" s="9">
        <v>4</v>
      </c>
      <c r="B31" s="10" t="s">
        <v>409</v>
      </c>
      <c r="C31" s="10" t="s">
        <v>219</v>
      </c>
      <c r="D31" s="10" t="s">
        <v>51</v>
      </c>
      <c r="E31" s="10" t="s">
        <v>54</v>
      </c>
      <c r="F31" s="2">
        <v>54119</v>
      </c>
      <c r="G31" s="6" t="s">
        <v>89</v>
      </c>
      <c r="H31" s="240">
        <v>0</v>
      </c>
      <c r="J31" s="200"/>
    </row>
    <row r="32" spans="1:10" ht="15.75" customHeight="1" x14ac:dyDescent="0.2">
      <c r="A32" s="9">
        <v>4</v>
      </c>
      <c r="B32" s="10" t="s">
        <v>409</v>
      </c>
      <c r="C32" s="10" t="s">
        <v>219</v>
      </c>
      <c r="D32" s="10" t="s">
        <v>51</v>
      </c>
      <c r="E32" s="10" t="s">
        <v>54</v>
      </c>
      <c r="F32" s="2">
        <v>54199</v>
      </c>
      <c r="G32" s="6" t="s">
        <v>98</v>
      </c>
      <c r="H32" s="240">
        <v>0</v>
      </c>
    </row>
    <row r="33" spans="1:8" ht="15.75" customHeight="1" x14ac:dyDescent="0.2">
      <c r="A33" s="9">
        <v>4</v>
      </c>
      <c r="B33" s="10" t="s">
        <v>409</v>
      </c>
      <c r="C33" s="10" t="s">
        <v>219</v>
      </c>
      <c r="D33" s="10" t="s">
        <v>51</v>
      </c>
      <c r="E33" s="10" t="s">
        <v>54</v>
      </c>
      <c r="F33" s="2">
        <v>54301</v>
      </c>
      <c r="G33" s="6" t="s">
        <v>45</v>
      </c>
      <c r="H33" s="240">
        <v>0</v>
      </c>
    </row>
    <row r="34" spans="1:8" ht="15.75" customHeight="1" x14ac:dyDescent="0.2">
      <c r="A34" s="9">
        <v>4</v>
      </c>
      <c r="B34" s="10" t="s">
        <v>409</v>
      </c>
      <c r="C34" s="10" t="s">
        <v>219</v>
      </c>
      <c r="D34" s="10" t="s">
        <v>51</v>
      </c>
      <c r="E34" s="10" t="s">
        <v>54</v>
      </c>
      <c r="F34" s="2">
        <v>54302</v>
      </c>
      <c r="G34" s="6" t="s">
        <v>48</v>
      </c>
      <c r="H34" s="240">
        <v>0</v>
      </c>
    </row>
    <row r="35" spans="1:8" ht="15.75" customHeight="1" x14ac:dyDescent="0.2">
      <c r="A35" s="9">
        <v>4</v>
      </c>
      <c r="B35" s="10" t="s">
        <v>409</v>
      </c>
      <c r="C35" s="10" t="s">
        <v>219</v>
      </c>
      <c r="D35" s="10" t="s">
        <v>51</v>
      </c>
      <c r="E35" s="10" t="s">
        <v>54</v>
      </c>
      <c r="F35" s="2">
        <v>54303</v>
      </c>
      <c r="G35" s="6" t="s">
        <v>348</v>
      </c>
      <c r="H35" s="240">
        <v>0</v>
      </c>
    </row>
    <row r="36" spans="1:8" ht="15.75" customHeight="1" x14ac:dyDescent="0.2">
      <c r="A36" s="9">
        <v>4</v>
      </c>
      <c r="B36" s="10" t="s">
        <v>409</v>
      </c>
      <c r="C36" s="10" t="s">
        <v>219</v>
      </c>
      <c r="D36" s="10" t="s">
        <v>51</v>
      </c>
      <c r="E36" s="10" t="s">
        <v>54</v>
      </c>
      <c r="F36" s="2">
        <v>54304</v>
      </c>
      <c r="G36" s="6" t="s">
        <v>85</v>
      </c>
      <c r="H36" s="240">
        <v>0</v>
      </c>
    </row>
    <row r="37" spans="1:8" ht="15.75" customHeight="1" x14ac:dyDescent="0.2">
      <c r="A37" s="9">
        <v>4</v>
      </c>
      <c r="B37" s="10" t="s">
        <v>409</v>
      </c>
      <c r="C37" s="10" t="s">
        <v>219</v>
      </c>
      <c r="D37" s="10" t="s">
        <v>51</v>
      </c>
      <c r="E37" s="10" t="s">
        <v>54</v>
      </c>
      <c r="F37" s="2">
        <v>54305</v>
      </c>
      <c r="G37" s="6" t="s">
        <v>179</v>
      </c>
      <c r="H37" s="240">
        <v>0</v>
      </c>
    </row>
    <row r="38" spans="1:8" ht="15.75" customHeight="1" x14ac:dyDescent="0.2">
      <c r="A38" s="9">
        <v>4</v>
      </c>
      <c r="B38" s="10" t="s">
        <v>409</v>
      </c>
      <c r="C38" s="10" t="s">
        <v>219</v>
      </c>
      <c r="D38" s="10" t="s">
        <v>51</v>
      </c>
      <c r="E38" s="10" t="s">
        <v>54</v>
      </c>
      <c r="F38" s="2">
        <v>54307</v>
      </c>
      <c r="G38" s="6" t="s">
        <v>226</v>
      </c>
      <c r="H38" s="240">
        <v>0</v>
      </c>
    </row>
    <row r="39" spans="1:8" ht="15.75" customHeight="1" x14ac:dyDescent="0.2">
      <c r="A39" s="9">
        <v>4</v>
      </c>
      <c r="B39" s="10" t="s">
        <v>409</v>
      </c>
      <c r="C39" s="10" t="s">
        <v>219</v>
      </c>
      <c r="D39" s="10" t="s">
        <v>51</v>
      </c>
      <c r="E39" s="10" t="s">
        <v>54</v>
      </c>
      <c r="F39" s="2">
        <v>54310</v>
      </c>
      <c r="G39" s="6" t="s">
        <v>362</v>
      </c>
      <c r="H39" s="240">
        <v>0</v>
      </c>
    </row>
    <row r="40" spans="1:8" ht="15.75" customHeight="1" x14ac:dyDescent="0.2">
      <c r="A40" s="9">
        <v>4</v>
      </c>
      <c r="B40" s="10" t="s">
        <v>409</v>
      </c>
      <c r="C40" s="10" t="s">
        <v>219</v>
      </c>
      <c r="D40" s="10" t="s">
        <v>51</v>
      </c>
      <c r="E40" s="10" t="s">
        <v>54</v>
      </c>
      <c r="F40" s="2">
        <v>54313</v>
      </c>
      <c r="G40" s="6" t="s">
        <v>180</v>
      </c>
      <c r="H40" s="240">
        <v>0</v>
      </c>
    </row>
    <row r="41" spans="1:8" ht="15.75" customHeight="1" x14ac:dyDescent="0.2">
      <c r="A41" s="9">
        <v>4</v>
      </c>
      <c r="B41" s="10" t="s">
        <v>409</v>
      </c>
      <c r="C41" s="10" t="s">
        <v>219</v>
      </c>
      <c r="D41" s="10" t="s">
        <v>51</v>
      </c>
      <c r="E41" s="10" t="s">
        <v>54</v>
      </c>
      <c r="F41" s="2">
        <v>54314</v>
      </c>
      <c r="G41" s="6" t="s">
        <v>79</v>
      </c>
      <c r="H41" s="240">
        <v>0</v>
      </c>
    </row>
    <row r="42" spans="1:8" ht="15.75" customHeight="1" x14ac:dyDescent="0.2">
      <c r="A42" s="9">
        <v>4</v>
      </c>
      <c r="B42" s="10" t="s">
        <v>409</v>
      </c>
      <c r="C42" s="10" t="s">
        <v>219</v>
      </c>
      <c r="D42" s="10" t="s">
        <v>51</v>
      </c>
      <c r="E42" s="10" t="s">
        <v>54</v>
      </c>
      <c r="F42" s="2">
        <v>54316</v>
      </c>
      <c r="G42" s="6" t="s">
        <v>181</v>
      </c>
      <c r="H42" s="240">
        <v>0</v>
      </c>
    </row>
    <row r="43" spans="1:8" ht="15.75" customHeight="1" x14ac:dyDescent="0.2">
      <c r="A43" s="9">
        <v>4</v>
      </c>
      <c r="B43" s="10" t="s">
        <v>409</v>
      </c>
      <c r="C43" s="10" t="s">
        <v>219</v>
      </c>
      <c r="D43" s="10" t="s">
        <v>51</v>
      </c>
      <c r="E43" s="10" t="s">
        <v>54</v>
      </c>
      <c r="F43" s="2">
        <v>54399</v>
      </c>
      <c r="G43" s="6" t="s">
        <v>182</v>
      </c>
      <c r="H43" s="240">
        <v>0</v>
      </c>
    </row>
    <row r="44" spans="1:8" ht="15.75" customHeight="1" x14ac:dyDescent="0.2">
      <c r="A44" s="9">
        <v>4</v>
      </c>
      <c r="B44" s="10" t="s">
        <v>409</v>
      </c>
      <c r="C44" s="10" t="s">
        <v>219</v>
      </c>
      <c r="D44" s="10" t="s">
        <v>51</v>
      </c>
      <c r="E44" s="10" t="s">
        <v>54</v>
      </c>
      <c r="F44" s="2">
        <v>54399</v>
      </c>
      <c r="G44" s="6" t="s">
        <v>80</v>
      </c>
      <c r="H44" s="240">
        <v>0</v>
      </c>
    </row>
    <row r="45" spans="1:8" ht="15.75" customHeight="1" x14ac:dyDescent="0.2">
      <c r="A45" s="9">
        <v>4</v>
      </c>
      <c r="B45" s="10" t="s">
        <v>409</v>
      </c>
      <c r="C45" s="10" t="s">
        <v>219</v>
      </c>
      <c r="D45" s="10" t="s">
        <v>51</v>
      </c>
      <c r="E45" s="10" t="s">
        <v>54</v>
      </c>
      <c r="F45" s="2">
        <v>54502</v>
      </c>
      <c r="G45" s="6" t="s">
        <v>349</v>
      </c>
      <c r="H45" s="240"/>
    </row>
    <row r="46" spans="1:8" ht="15.75" customHeight="1" x14ac:dyDescent="0.2">
      <c r="A46" s="9">
        <v>4</v>
      </c>
      <c r="B46" s="10" t="s">
        <v>409</v>
      </c>
      <c r="C46" s="10" t="s">
        <v>219</v>
      </c>
      <c r="D46" s="10" t="s">
        <v>51</v>
      </c>
      <c r="E46" s="10" t="s">
        <v>54</v>
      </c>
      <c r="F46" s="2">
        <v>54505</v>
      </c>
      <c r="G46" s="6" t="s">
        <v>183</v>
      </c>
      <c r="H46" s="240"/>
    </row>
    <row r="47" spans="1:8" ht="15.75" customHeight="1" x14ac:dyDescent="0.2">
      <c r="A47" s="9">
        <v>4</v>
      </c>
      <c r="B47" s="10" t="s">
        <v>409</v>
      </c>
      <c r="C47" s="10" t="s">
        <v>219</v>
      </c>
      <c r="D47" s="10" t="s">
        <v>51</v>
      </c>
      <c r="E47" s="10" t="s">
        <v>54</v>
      </c>
      <c r="F47" s="2">
        <v>54508</v>
      </c>
      <c r="G47" s="6" t="s">
        <v>184</v>
      </c>
      <c r="H47" s="240"/>
    </row>
    <row r="48" spans="1:8" ht="15.75" customHeight="1" x14ac:dyDescent="0.2">
      <c r="A48" s="9">
        <v>4</v>
      </c>
      <c r="B48" s="10" t="s">
        <v>409</v>
      </c>
      <c r="C48" s="10" t="s">
        <v>219</v>
      </c>
      <c r="D48" s="10" t="s">
        <v>51</v>
      </c>
      <c r="E48" s="10" t="s">
        <v>54</v>
      </c>
      <c r="F48" s="2">
        <v>54599</v>
      </c>
      <c r="G48" s="6" t="s">
        <v>185</v>
      </c>
      <c r="H48" s="240"/>
    </row>
    <row r="49" spans="1:8" ht="15.75" customHeight="1" x14ac:dyDescent="0.2">
      <c r="A49" s="9">
        <v>4</v>
      </c>
      <c r="B49" s="10" t="s">
        <v>409</v>
      </c>
      <c r="C49" s="10" t="s">
        <v>219</v>
      </c>
      <c r="D49" s="10" t="s">
        <v>51</v>
      </c>
      <c r="E49" s="10" t="s">
        <v>54</v>
      </c>
      <c r="F49" s="2">
        <v>54602</v>
      </c>
      <c r="G49" s="6" t="s">
        <v>186</v>
      </c>
      <c r="H49" s="240"/>
    </row>
    <row r="50" spans="1:8" ht="15.75" customHeight="1" x14ac:dyDescent="0.2">
      <c r="A50" s="9">
        <v>4</v>
      </c>
      <c r="B50" s="10" t="s">
        <v>409</v>
      </c>
      <c r="C50" s="10" t="s">
        <v>219</v>
      </c>
      <c r="D50" s="10" t="s">
        <v>51</v>
      </c>
      <c r="E50" s="10" t="s">
        <v>54</v>
      </c>
      <c r="F50" s="2">
        <v>54603</v>
      </c>
      <c r="G50" s="6" t="s">
        <v>310</v>
      </c>
      <c r="H50" s="240"/>
    </row>
    <row r="51" spans="1:8" ht="15.75" customHeight="1" x14ac:dyDescent="0.2">
      <c r="A51" s="9">
        <v>4</v>
      </c>
      <c r="B51" s="10" t="s">
        <v>409</v>
      </c>
      <c r="C51" s="10" t="s">
        <v>219</v>
      </c>
      <c r="D51" s="10" t="s">
        <v>51</v>
      </c>
      <c r="E51" s="10" t="s">
        <v>54</v>
      </c>
      <c r="F51" s="2">
        <v>54699</v>
      </c>
      <c r="G51" s="6" t="s">
        <v>27</v>
      </c>
      <c r="H51" s="240">
        <v>0</v>
      </c>
    </row>
    <row r="52" spans="1:8" ht="15.75" customHeight="1" x14ac:dyDescent="0.2">
      <c r="A52" s="9">
        <v>4</v>
      </c>
      <c r="B52" s="10" t="s">
        <v>409</v>
      </c>
      <c r="C52" s="10" t="s">
        <v>219</v>
      </c>
      <c r="D52" s="10" t="s">
        <v>51</v>
      </c>
      <c r="E52" s="10" t="s">
        <v>54</v>
      </c>
      <c r="F52" s="2">
        <v>55601</v>
      </c>
      <c r="G52" s="6" t="s">
        <v>93</v>
      </c>
      <c r="H52" s="240"/>
    </row>
    <row r="53" spans="1:8" ht="15.75" customHeight="1" x14ac:dyDescent="0.2">
      <c r="A53" s="9">
        <v>4</v>
      </c>
      <c r="B53" s="10" t="s">
        <v>409</v>
      </c>
      <c r="C53" s="10" t="s">
        <v>219</v>
      </c>
      <c r="D53" s="10" t="s">
        <v>51</v>
      </c>
      <c r="E53" s="10" t="s">
        <v>54</v>
      </c>
      <c r="F53" s="2">
        <v>55603</v>
      </c>
      <c r="G53" s="6" t="s">
        <v>168</v>
      </c>
      <c r="H53" s="240">
        <v>0</v>
      </c>
    </row>
    <row r="54" spans="1:8" ht="15.75" customHeight="1" x14ac:dyDescent="0.2">
      <c r="A54" s="9">
        <v>4</v>
      </c>
      <c r="B54" s="10" t="s">
        <v>409</v>
      </c>
      <c r="C54" s="10" t="s">
        <v>219</v>
      </c>
      <c r="D54" s="10" t="s">
        <v>51</v>
      </c>
      <c r="E54" s="10" t="s">
        <v>54</v>
      </c>
      <c r="F54" s="2">
        <v>56303</v>
      </c>
      <c r="G54" s="6" t="s">
        <v>240</v>
      </c>
      <c r="H54" s="240">
        <v>0</v>
      </c>
    </row>
    <row r="55" spans="1:8" ht="15.75" customHeight="1" x14ac:dyDescent="0.2">
      <c r="A55" s="9">
        <v>4</v>
      </c>
      <c r="B55" s="10" t="s">
        <v>409</v>
      </c>
      <c r="C55" s="10" t="s">
        <v>219</v>
      </c>
      <c r="D55" s="10" t="s">
        <v>51</v>
      </c>
      <c r="E55" s="10" t="s">
        <v>54</v>
      </c>
      <c r="F55" s="2">
        <v>56305</v>
      </c>
      <c r="G55" s="6" t="s">
        <v>564</v>
      </c>
      <c r="H55" s="240">
        <v>0</v>
      </c>
    </row>
    <row r="56" spans="1:8" ht="15.75" customHeight="1" x14ac:dyDescent="0.2">
      <c r="A56" s="9">
        <v>4</v>
      </c>
      <c r="B56" s="10" t="s">
        <v>409</v>
      </c>
      <c r="C56" s="10" t="s">
        <v>219</v>
      </c>
      <c r="D56" s="10" t="s">
        <v>51</v>
      </c>
      <c r="E56" s="10" t="s">
        <v>54</v>
      </c>
      <c r="F56" s="2">
        <v>61101</v>
      </c>
      <c r="G56" s="6" t="s">
        <v>171</v>
      </c>
      <c r="H56" s="240"/>
    </row>
    <row r="57" spans="1:8" ht="15.75" customHeight="1" x14ac:dyDescent="0.2">
      <c r="A57" s="9">
        <v>4</v>
      </c>
      <c r="B57" s="10" t="s">
        <v>409</v>
      </c>
      <c r="C57" s="10" t="s">
        <v>219</v>
      </c>
      <c r="D57" s="10" t="s">
        <v>51</v>
      </c>
      <c r="E57" s="10" t="s">
        <v>54</v>
      </c>
      <c r="F57" s="2">
        <v>61102</v>
      </c>
      <c r="G57" s="6" t="s">
        <v>188</v>
      </c>
      <c r="H57" s="240"/>
    </row>
    <row r="58" spans="1:8" ht="15.75" customHeight="1" x14ac:dyDescent="0.2">
      <c r="A58" s="9">
        <v>4</v>
      </c>
      <c r="B58" s="10" t="s">
        <v>409</v>
      </c>
      <c r="C58" s="10" t="s">
        <v>219</v>
      </c>
      <c r="D58" s="10" t="s">
        <v>51</v>
      </c>
      <c r="E58" s="10" t="s">
        <v>54</v>
      </c>
      <c r="F58" s="2">
        <v>61104</v>
      </c>
      <c r="G58" s="6" t="s">
        <v>346</v>
      </c>
      <c r="H58" s="240"/>
    </row>
    <row r="59" spans="1:8" ht="15.75" customHeight="1" x14ac:dyDescent="0.2">
      <c r="A59" s="9">
        <v>4</v>
      </c>
      <c r="B59" s="10" t="s">
        <v>409</v>
      </c>
      <c r="C59" s="10" t="s">
        <v>219</v>
      </c>
      <c r="D59" s="10" t="s">
        <v>51</v>
      </c>
      <c r="E59" s="10" t="s">
        <v>54</v>
      </c>
      <c r="F59" s="2">
        <v>61105</v>
      </c>
      <c r="G59" s="6" t="s">
        <v>565</v>
      </c>
      <c r="H59" s="240">
        <v>0</v>
      </c>
    </row>
    <row r="60" spans="1:8" ht="15.75" customHeight="1" x14ac:dyDescent="0.2">
      <c r="A60" s="9">
        <v>4</v>
      </c>
      <c r="B60" s="10" t="s">
        <v>409</v>
      </c>
      <c r="C60" s="10" t="s">
        <v>219</v>
      </c>
      <c r="D60" s="10" t="s">
        <v>51</v>
      </c>
      <c r="E60" s="10" t="s">
        <v>54</v>
      </c>
      <c r="F60" s="2">
        <v>61108</v>
      </c>
      <c r="G60" s="6" t="s">
        <v>566</v>
      </c>
      <c r="H60" s="240">
        <v>0</v>
      </c>
    </row>
    <row r="61" spans="1:8" ht="15.75" customHeight="1" x14ac:dyDescent="0.2">
      <c r="A61" s="9">
        <v>4</v>
      </c>
      <c r="B61" s="10" t="s">
        <v>409</v>
      </c>
      <c r="C61" s="10" t="s">
        <v>219</v>
      </c>
      <c r="D61" s="10" t="s">
        <v>51</v>
      </c>
      <c r="E61" s="10" t="s">
        <v>54</v>
      </c>
      <c r="F61" s="2">
        <v>61109</v>
      </c>
      <c r="G61" s="6" t="s">
        <v>567</v>
      </c>
      <c r="H61" s="240"/>
    </row>
    <row r="62" spans="1:8" ht="15.75" customHeight="1" x14ac:dyDescent="0.2">
      <c r="A62" s="9">
        <v>4</v>
      </c>
      <c r="B62" s="10" t="s">
        <v>409</v>
      </c>
      <c r="C62" s="10" t="s">
        <v>219</v>
      </c>
      <c r="D62" s="10" t="s">
        <v>51</v>
      </c>
      <c r="E62" s="10" t="s">
        <v>54</v>
      </c>
      <c r="F62" s="2">
        <v>61199</v>
      </c>
      <c r="G62" s="6" t="s">
        <v>170</v>
      </c>
      <c r="H62" s="240">
        <v>0</v>
      </c>
    </row>
    <row r="63" spans="1:8" ht="15.75" customHeight="1" x14ac:dyDescent="0.2">
      <c r="A63" s="9">
        <v>4</v>
      </c>
      <c r="B63" s="10" t="s">
        <v>409</v>
      </c>
      <c r="C63" s="10" t="s">
        <v>219</v>
      </c>
      <c r="D63" s="10" t="s">
        <v>51</v>
      </c>
      <c r="E63" s="10" t="s">
        <v>54</v>
      </c>
      <c r="F63" s="2">
        <v>61501</v>
      </c>
      <c r="G63" s="6" t="s">
        <v>244</v>
      </c>
      <c r="H63" s="240"/>
    </row>
    <row r="64" spans="1:8" ht="15.75" customHeight="1" x14ac:dyDescent="0.2">
      <c r="A64" s="9">
        <v>4</v>
      </c>
      <c r="B64" s="10" t="s">
        <v>409</v>
      </c>
      <c r="C64" s="10" t="s">
        <v>219</v>
      </c>
      <c r="D64" s="10" t="s">
        <v>51</v>
      </c>
      <c r="E64" s="10" t="s">
        <v>54</v>
      </c>
      <c r="F64" s="2">
        <v>61502</v>
      </c>
      <c r="G64" s="6" t="s">
        <v>245</v>
      </c>
      <c r="H64" s="240"/>
    </row>
    <row r="65" spans="1:11" ht="15.75" customHeight="1" x14ac:dyDescent="0.2">
      <c r="A65" s="9">
        <v>4</v>
      </c>
      <c r="B65" s="10" t="s">
        <v>409</v>
      </c>
      <c r="C65" s="10" t="s">
        <v>219</v>
      </c>
      <c r="D65" s="10" t="s">
        <v>51</v>
      </c>
      <c r="E65" s="10" t="s">
        <v>54</v>
      </c>
      <c r="F65" s="2">
        <v>61503</v>
      </c>
      <c r="G65" s="6" t="s">
        <v>246</v>
      </c>
      <c r="H65" s="240"/>
    </row>
    <row r="66" spans="1:11" ht="15.75" customHeight="1" x14ac:dyDescent="0.2">
      <c r="A66" s="9">
        <v>4</v>
      </c>
      <c r="B66" s="10" t="s">
        <v>409</v>
      </c>
      <c r="C66" s="10" t="s">
        <v>219</v>
      </c>
      <c r="D66" s="10" t="s">
        <v>51</v>
      </c>
      <c r="E66" s="10" t="s">
        <v>54</v>
      </c>
      <c r="F66" s="2">
        <v>61599</v>
      </c>
      <c r="G66" s="6" t="s">
        <v>189</v>
      </c>
      <c r="H66" s="240">
        <v>0</v>
      </c>
    </row>
    <row r="67" spans="1:11" ht="15.75" customHeight="1" x14ac:dyDescent="0.2">
      <c r="A67" s="9">
        <v>4</v>
      </c>
      <c r="B67" s="10" t="s">
        <v>409</v>
      </c>
      <c r="C67" s="10" t="s">
        <v>219</v>
      </c>
      <c r="D67" s="10" t="s">
        <v>51</v>
      </c>
      <c r="E67" s="10" t="s">
        <v>54</v>
      </c>
      <c r="F67" s="2">
        <v>61601</v>
      </c>
      <c r="G67" s="6" t="s">
        <v>190</v>
      </c>
      <c r="H67" s="240">
        <v>1294883.1499999999</v>
      </c>
    </row>
    <row r="68" spans="1:11" ht="15.75" customHeight="1" x14ac:dyDescent="0.2">
      <c r="A68" s="9">
        <v>4</v>
      </c>
      <c r="B68" s="10" t="s">
        <v>409</v>
      </c>
      <c r="C68" s="10" t="s">
        <v>219</v>
      </c>
      <c r="D68" s="10" t="s">
        <v>51</v>
      </c>
      <c r="E68" s="10" t="s">
        <v>54</v>
      </c>
      <c r="F68" s="2">
        <v>61602</v>
      </c>
      <c r="G68" s="6" t="s">
        <v>247</v>
      </c>
      <c r="H68" s="240">
        <v>0</v>
      </c>
    </row>
    <row r="69" spans="1:11" ht="15.75" customHeight="1" x14ac:dyDescent="0.2">
      <c r="A69" s="9">
        <v>4</v>
      </c>
      <c r="B69" s="10" t="s">
        <v>409</v>
      </c>
      <c r="C69" s="10" t="s">
        <v>219</v>
      </c>
      <c r="D69" s="10" t="s">
        <v>51</v>
      </c>
      <c r="E69" s="10" t="s">
        <v>54</v>
      </c>
      <c r="F69" s="2">
        <v>61603</v>
      </c>
      <c r="G69" s="6" t="s">
        <v>248</v>
      </c>
      <c r="H69" s="240">
        <v>0</v>
      </c>
    </row>
    <row r="70" spans="1:11" ht="15.75" customHeight="1" x14ac:dyDescent="0.2">
      <c r="A70" s="9">
        <v>4</v>
      </c>
      <c r="B70" s="10" t="s">
        <v>409</v>
      </c>
      <c r="C70" s="10" t="s">
        <v>219</v>
      </c>
      <c r="D70" s="10" t="s">
        <v>51</v>
      </c>
      <c r="E70" s="10" t="s">
        <v>54</v>
      </c>
      <c r="F70" s="2">
        <v>61604</v>
      </c>
      <c r="G70" s="6" t="s">
        <v>249</v>
      </c>
      <c r="H70" s="240"/>
    </row>
    <row r="71" spans="1:11" ht="15.75" customHeight="1" x14ac:dyDescent="0.2">
      <c r="A71" s="9">
        <v>4</v>
      </c>
      <c r="B71" s="10" t="s">
        <v>409</v>
      </c>
      <c r="C71" s="10" t="s">
        <v>219</v>
      </c>
      <c r="D71" s="10" t="s">
        <v>51</v>
      </c>
      <c r="E71" s="10" t="s">
        <v>54</v>
      </c>
      <c r="F71" s="2">
        <v>61606</v>
      </c>
      <c r="G71" s="6" t="s">
        <v>250</v>
      </c>
      <c r="H71" s="240"/>
    </row>
    <row r="72" spans="1:11" ht="15.75" customHeight="1" x14ac:dyDescent="0.2">
      <c r="A72" s="9">
        <v>4</v>
      </c>
      <c r="B72" s="10" t="s">
        <v>409</v>
      </c>
      <c r="C72" s="10" t="s">
        <v>219</v>
      </c>
      <c r="D72" s="10" t="s">
        <v>51</v>
      </c>
      <c r="E72" s="10" t="s">
        <v>54</v>
      </c>
      <c r="F72" s="2">
        <v>61607</v>
      </c>
      <c r="G72" s="6" t="s">
        <v>191</v>
      </c>
      <c r="H72" s="240"/>
    </row>
    <row r="73" spans="1:11" ht="15.75" customHeight="1" x14ac:dyDescent="0.2">
      <c r="A73" s="9">
        <v>4</v>
      </c>
      <c r="B73" s="10" t="s">
        <v>409</v>
      </c>
      <c r="C73" s="10" t="s">
        <v>219</v>
      </c>
      <c r="D73" s="10" t="s">
        <v>51</v>
      </c>
      <c r="E73" s="10" t="s">
        <v>54</v>
      </c>
      <c r="F73" s="2">
        <v>61608</v>
      </c>
      <c r="G73" s="6" t="s">
        <v>192</v>
      </c>
      <c r="H73" s="240">
        <v>0</v>
      </c>
    </row>
    <row r="74" spans="1:11" ht="15.75" customHeight="1" x14ac:dyDescent="0.2">
      <c r="A74" s="9">
        <v>4</v>
      </c>
      <c r="B74" s="10" t="s">
        <v>409</v>
      </c>
      <c r="C74" s="10" t="s">
        <v>219</v>
      </c>
      <c r="D74" s="10" t="s">
        <v>51</v>
      </c>
      <c r="E74" s="10" t="s">
        <v>54</v>
      </c>
      <c r="F74" s="2">
        <v>61609</v>
      </c>
      <c r="G74" s="6" t="s">
        <v>567</v>
      </c>
      <c r="H74" s="240">
        <v>0</v>
      </c>
    </row>
    <row r="75" spans="1:11" ht="15.75" customHeight="1" x14ac:dyDescent="0.2">
      <c r="A75" s="9">
        <v>4</v>
      </c>
      <c r="B75" s="10" t="s">
        <v>409</v>
      </c>
      <c r="C75" s="10" t="s">
        <v>219</v>
      </c>
      <c r="D75" s="10" t="s">
        <v>51</v>
      </c>
      <c r="E75" s="10" t="s">
        <v>54</v>
      </c>
      <c r="F75" s="2">
        <v>61699</v>
      </c>
      <c r="G75" s="6" t="s">
        <v>193</v>
      </c>
      <c r="H75" s="240">
        <v>0</v>
      </c>
    </row>
    <row r="76" spans="1:11" ht="15.75" customHeight="1" x14ac:dyDescent="0.2">
      <c r="A76" s="18"/>
      <c r="B76" s="16"/>
      <c r="C76" s="1"/>
      <c r="D76" s="16"/>
      <c r="E76" s="282"/>
      <c r="F76" s="228">
        <v>61201</v>
      </c>
      <c r="G76" s="7" t="s">
        <v>363</v>
      </c>
      <c r="H76" s="242">
        <v>0</v>
      </c>
    </row>
    <row r="77" spans="1:11" ht="15.75" customHeight="1" thickBot="1" x14ac:dyDescent="0.25">
      <c r="A77" s="18"/>
      <c r="B77" s="16"/>
      <c r="C77" s="227"/>
      <c r="D77" s="16"/>
      <c r="E77" s="227"/>
      <c r="F77" s="228">
        <v>72101</v>
      </c>
      <c r="G77" s="7" t="s">
        <v>610</v>
      </c>
      <c r="H77" s="242">
        <v>0</v>
      </c>
    </row>
    <row r="78" spans="1:11" ht="27.75" customHeight="1" thickBot="1" x14ac:dyDescent="0.35">
      <c r="A78" s="643"/>
      <c r="B78" s="644"/>
      <c r="C78" s="644"/>
      <c r="D78" s="644"/>
      <c r="E78" s="644"/>
      <c r="F78" s="645"/>
      <c r="G78" s="336" t="s">
        <v>699</v>
      </c>
      <c r="H78" s="337">
        <f>SUM(H11:H77)</f>
        <v>1294883.1499999999</v>
      </c>
      <c r="J78" s="198"/>
      <c r="K78" s="86"/>
    </row>
    <row r="79" spans="1:11" x14ac:dyDescent="0.2">
      <c r="A79" s="23"/>
      <c r="B79" s="23"/>
      <c r="C79" s="23"/>
      <c r="D79" s="23"/>
      <c r="E79" s="23"/>
      <c r="F79" s="23"/>
      <c r="H79" s="38"/>
      <c r="K79" s="195"/>
    </row>
    <row r="80" spans="1:11" ht="15.75" x14ac:dyDescent="0.25">
      <c r="A80" s="34"/>
      <c r="B80" s="34"/>
      <c r="C80" s="34"/>
      <c r="D80" s="34"/>
      <c r="E80" s="34"/>
      <c r="F80" s="34"/>
      <c r="G80" s="39"/>
      <c r="H80" s="208">
        <f>+H78-H12-H13</f>
        <v>1294883.1499999999</v>
      </c>
      <c r="K80" s="195"/>
    </row>
    <row r="81" spans="1:11" ht="19.5" customHeight="1" x14ac:dyDescent="0.2">
      <c r="A81" s="651" t="s">
        <v>12</v>
      </c>
      <c r="B81" s="651"/>
      <c r="C81" s="651"/>
      <c r="D81" s="651"/>
      <c r="E81" s="651"/>
      <c r="F81" s="651"/>
      <c r="H81" s="209">
        <f>+H78-H80</f>
        <v>0</v>
      </c>
      <c r="K81" s="229"/>
    </row>
    <row r="82" spans="1:11" x14ac:dyDescent="0.2">
      <c r="A82" s="646" t="s">
        <v>2</v>
      </c>
      <c r="B82" s="646"/>
      <c r="C82" s="646"/>
      <c r="D82" s="646"/>
      <c r="E82" s="646"/>
      <c r="F82" s="646"/>
      <c r="G82" s="646"/>
    </row>
    <row r="83" spans="1:11" x14ac:dyDescent="0.2">
      <c r="A83" s="646" t="s">
        <v>8</v>
      </c>
      <c r="B83" s="646"/>
      <c r="C83" s="646"/>
      <c r="D83" s="646"/>
      <c r="E83" s="646"/>
      <c r="F83" s="646"/>
      <c r="G83" s="646"/>
      <c r="H83" s="89"/>
    </row>
    <row r="84" spans="1:11" x14ac:dyDescent="0.2">
      <c r="A84" s="646" t="s">
        <v>9</v>
      </c>
      <c r="B84" s="646"/>
      <c r="C84" s="646"/>
      <c r="D84" s="646"/>
      <c r="E84" s="646"/>
      <c r="F84" s="646"/>
      <c r="G84" s="646"/>
    </row>
    <row r="85" spans="1:11" x14ac:dyDescent="0.2">
      <c r="A85" s="646"/>
      <c r="B85" s="646"/>
      <c r="C85" s="646"/>
      <c r="D85" s="646"/>
      <c r="E85" s="646"/>
      <c r="F85" s="646"/>
      <c r="G85" s="646"/>
    </row>
  </sheetData>
  <mergeCells count="18">
    <mergeCell ref="A5:H5"/>
    <mergeCell ref="A1:D1"/>
    <mergeCell ref="E1:H1"/>
    <mergeCell ref="A2:I2"/>
    <mergeCell ref="A3:H3"/>
    <mergeCell ref="A4:H4"/>
    <mergeCell ref="A85:G85"/>
    <mergeCell ref="A6:H6"/>
    <mergeCell ref="A7:H7"/>
    <mergeCell ref="A8:H8"/>
    <mergeCell ref="A9:F9"/>
    <mergeCell ref="G9:G10"/>
    <mergeCell ref="H9:H10"/>
    <mergeCell ref="A78:F78"/>
    <mergeCell ref="A81:F81"/>
    <mergeCell ref="A82:G82"/>
    <mergeCell ref="A83:G83"/>
    <mergeCell ref="A84:G8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fitToHeight="0" orientation="portrait" r:id="rId1"/>
  <rowBreaks count="1" manualBreakCount="1">
    <brk id="4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4"/>
  <sheetViews>
    <sheetView view="pageBreakPreview" topLeftCell="A10" zoomScale="86" zoomScaleNormal="100" zoomScaleSheetLayoutView="86" workbookViewId="0">
      <selection activeCell="H27" sqref="H27"/>
    </sheetView>
  </sheetViews>
  <sheetFormatPr baseColWidth="10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0.28515625" style="24" customWidth="1"/>
    <col min="7" max="7" width="49.28515625" style="19" customWidth="1"/>
    <col min="8" max="8" width="21.28515625" style="4" customWidth="1"/>
    <col min="9" max="9" width="11.42578125" style="207"/>
    <col min="10" max="10" width="14.7109375" style="194" bestFit="1" customWidth="1"/>
    <col min="11" max="11" width="13.7109375" style="21" bestFit="1" customWidth="1"/>
    <col min="12" max="16384" width="11.42578125" style="21"/>
  </cols>
  <sheetData>
    <row r="1" spans="1:11" ht="20.25" x14ac:dyDescent="0.25">
      <c r="A1" s="560"/>
      <c r="B1" s="560"/>
      <c r="C1" s="560"/>
      <c r="D1" s="560"/>
      <c r="E1" s="560"/>
      <c r="F1" s="560"/>
      <c r="G1" s="560"/>
      <c r="H1" s="560"/>
      <c r="I1" s="206"/>
    </row>
    <row r="2" spans="1:11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620"/>
    </row>
    <row r="3" spans="1:11" ht="15.75" x14ac:dyDescent="0.25">
      <c r="A3" s="624" t="s">
        <v>698</v>
      </c>
      <c r="B3" s="557"/>
      <c r="C3" s="557"/>
      <c r="D3" s="557"/>
      <c r="E3" s="557"/>
      <c r="F3" s="557"/>
      <c r="G3" s="557"/>
      <c r="H3" s="557"/>
      <c r="K3" s="86"/>
    </row>
    <row r="4" spans="1:11" ht="15.75" x14ac:dyDescent="0.25">
      <c r="A4" s="624" t="s">
        <v>640</v>
      </c>
      <c r="B4" s="557"/>
      <c r="C4" s="557"/>
      <c r="D4" s="557"/>
      <c r="E4" s="557"/>
      <c r="F4" s="557"/>
      <c r="G4" s="557"/>
      <c r="H4" s="557"/>
      <c r="K4" s="86"/>
    </row>
    <row r="5" spans="1:11" ht="15" x14ac:dyDescent="0.2">
      <c r="A5" s="635" t="s">
        <v>11</v>
      </c>
      <c r="B5" s="636"/>
      <c r="C5" s="636"/>
      <c r="D5" s="636"/>
      <c r="E5" s="636"/>
      <c r="F5" s="636"/>
      <c r="G5" s="636"/>
      <c r="H5" s="636"/>
    </row>
    <row r="6" spans="1:11" ht="8.25" customHeight="1" x14ac:dyDescent="0.25">
      <c r="A6" s="637"/>
      <c r="B6" s="638"/>
      <c r="C6" s="638"/>
      <c r="D6" s="638"/>
      <c r="E6" s="638"/>
      <c r="F6" s="638"/>
      <c r="G6" s="638"/>
      <c r="H6" s="638"/>
    </row>
    <row r="7" spans="1:11" ht="15.75" x14ac:dyDescent="0.25">
      <c r="A7" s="647" t="s">
        <v>176</v>
      </c>
      <c r="B7" s="647"/>
      <c r="C7" s="647"/>
      <c r="D7" s="647"/>
      <c r="E7" s="647"/>
      <c r="F7" s="647"/>
      <c r="G7" s="647"/>
      <c r="H7" s="647"/>
      <c r="K7" s="86"/>
    </row>
    <row r="8" spans="1:11" ht="16.5" thickBot="1" x14ac:dyDescent="0.3">
      <c r="A8" s="648" t="s">
        <v>804</v>
      </c>
      <c r="B8" s="648"/>
      <c r="C8" s="648"/>
      <c r="D8" s="648"/>
      <c r="E8" s="648"/>
      <c r="F8" s="648"/>
      <c r="G8" s="648"/>
      <c r="H8" s="648"/>
      <c r="K8" s="86"/>
    </row>
    <row r="9" spans="1:11" ht="15.75" thickBot="1" x14ac:dyDescent="0.3">
      <c r="A9" s="649" t="s">
        <v>0</v>
      </c>
      <c r="B9" s="650"/>
      <c r="C9" s="650"/>
      <c r="D9" s="650"/>
      <c r="E9" s="650"/>
      <c r="F9" s="650"/>
      <c r="G9" s="631" t="s">
        <v>151</v>
      </c>
      <c r="H9" s="633" t="s">
        <v>152</v>
      </c>
      <c r="K9" s="86"/>
    </row>
    <row r="10" spans="1:11" s="22" customFormat="1" ht="200.25" customHeight="1" thickBot="1" x14ac:dyDescent="0.25">
      <c r="A10" s="330" t="s">
        <v>144</v>
      </c>
      <c r="B10" s="331" t="s">
        <v>145</v>
      </c>
      <c r="C10" s="331" t="s">
        <v>122</v>
      </c>
      <c r="D10" s="331" t="s">
        <v>146</v>
      </c>
      <c r="E10" s="332" t="s">
        <v>153</v>
      </c>
      <c r="F10" s="333" t="s">
        <v>99</v>
      </c>
      <c r="G10" s="632"/>
      <c r="H10" s="634"/>
      <c r="I10" s="87"/>
      <c r="J10" s="199"/>
    </row>
    <row r="11" spans="1:11" s="207" customFormat="1" ht="15.75" customHeight="1" x14ac:dyDescent="0.2">
      <c r="A11" s="8"/>
      <c r="B11" s="1"/>
      <c r="C11" s="10"/>
      <c r="D11" s="1"/>
      <c r="E11" s="10"/>
      <c r="F11" s="2"/>
      <c r="G11" s="6"/>
      <c r="H11" s="240"/>
      <c r="J11" s="194"/>
      <c r="K11" s="21"/>
    </row>
    <row r="12" spans="1:11" s="207" customFormat="1" ht="15.75" customHeight="1" x14ac:dyDescent="0.2">
      <c r="A12" s="8">
        <v>3</v>
      </c>
      <c r="B12" s="1" t="s">
        <v>53</v>
      </c>
      <c r="C12" s="10" t="s">
        <v>53</v>
      </c>
      <c r="D12" s="1" t="s">
        <v>51</v>
      </c>
      <c r="E12" s="10" t="s">
        <v>54</v>
      </c>
      <c r="F12" s="2">
        <v>55603</v>
      </c>
      <c r="G12" s="6" t="s">
        <v>168</v>
      </c>
      <c r="H12" s="240"/>
      <c r="J12" s="194"/>
      <c r="K12" s="21"/>
    </row>
    <row r="13" spans="1:11" s="207" customFormat="1" ht="15.75" customHeight="1" x14ac:dyDescent="0.2">
      <c r="A13" s="8"/>
      <c r="B13" s="1"/>
      <c r="C13" s="10"/>
      <c r="D13" s="1"/>
      <c r="E13" s="10"/>
      <c r="F13" s="2"/>
      <c r="G13" s="6"/>
      <c r="H13" s="240">
        <v>0</v>
      </c>
      <c r="J13" s="194"/>
      <c r="K13" s="21"/>
    </row>
    <row r="14" spans="1:11" s="207" customFormat="1" ht="15.75" customHeight="1" x14ac:dyDescent="0.2">
      <c r="A14" s="8"/>
      <c r="B14" s="1"/>
      <c r="C14" s="10"/>
      <c r="D14" s="1"/>
      <c r="E14" s="10"/>
      <c r="F14" s="2"/>
      <c r="G14" s="6"/>
      <c r="H14" s="240">
        <v>0</v>
      </c>
      <c r="J14" s="194"/>
      <c r="K14" s="21"/>
    </row>
    <row r="15" spans="1:11" s="207" customFormat="1" ht="15.75" customHeight="1" x14ac:dyDescent="0.2">
      <c r="A15" s="8">
        <v>3</v>
      </c>
      <c r="B15" s="1" t="s">
        <v>53</v>
      </c>
      <c r="C15" s="10" t="s">
        <v>53</v>
      </c>
      <c r="D15" s="1" t="s">
        <v>51</v>
      </c>
      <c r="E15" s="10" t="s">
        <v>54</v>
      </c>
      <c r="F15" s="2">
        <v>61101</v>
      </c>
      <c r="G15" s="6" t="s">
        <v>171</v>
      </c>
      <c r="H15" s="240"/>
      <c r="J15" s="194"/>
      <c r="K15" s="21"/>
    </row>
    <row r="16" spans="1:11" s="207" customFormat="1" ht="15.75" customHeight="1" x14ac:dyDescent="0.2">
      <c r="A16" s="8">
        <v>3</v>
      </c>
      <c r="B16" s="1" t="s">
        <v>53</v>
      </c>
      <c r="C16" s="10" t="s">
        <v>53</v>
      </c>
      <c r="D16" s="1" t="s">
        <v>51</v>
      </c>
      <c r="E16" s="10" t="s">
        <v>54</v>
      </c>
      <c r="F16" s="2">
        <v>61102</v>
      </c>
      <c r="G16" s="6" t="s">
        <v>188</v>
      </c>
      <c r="H16" s="240"/>
      <c r="J16" s="194"/>
      <c r="K16" s="21"/>
    </row>
    <row r="17" spans="1:11" s="207" customFormat="1" ht="15.75" customHeight="1" x14ac:dyDescent="0.2">
      <c r="A17" s="8"/>
      <c r="B17" s="1"/>
      <c r="C17" s="10"/>
      <c r="D17" s="1"/>
      <c r="E17" s="10"/>
      <c r="F17" s="2">
        <v>61104</v>
      </c>
      <c r="G17" s="6" t="s">
        <v>346</v>
      </c>
      <c r="H17" s="240"/>
      <c r="J17" s="194"/>
      <c r="K17" s="21"/>
    </row>
    <row r="18" spans="1:11" s="207" customFormat="1" ht="15.75" customHeight="1" x14ac:dyDescent="0.2">
      <c r="A18" s="8"/>
      <c r="B18" s="1"/>
      <c r="C18" s="10"/>
      <c r="D18" s="1"/>
      <c r="E18" s="10"/>
      <c r="F18" s="2">
        <v>61105</v>
      </c>
      <c r="G18" s="6" t="s">
        <v>565</v>
      </c>
      <c r="H18" s="240">
        <v>0</v>
      </c>
      <c r="J18" s="194"/>
      <c r="K18" s="21"/>
    </row>
    <row r="19" spans="1:11" s="207" customFormat="1" ht="15.75" customHeight="1" x14ac:dyDescent="0.2">
      <c r="A19" s="8"/>
      <c r="B19" s="1"/>
      <c r="C19" s="10"/>
      <c r="D19" s="1"/>
      <c r="E19" s="10"/>
      <c r="F19" s="2">
        <v>61108</v>
      </c>
      <c r="G19" s="6" t="s">
        <v>566</v>
      </c>
      <c r="H19" s="240">
        <v>0</v>
      </c>
      <c r="J19" s="194"/>
      <c r="K19" s="21"/>
    </row>
    <row r="20" spans="1:11" s="207" customFormat="1" ht="15.75" customHeight="1" x14ac:dyDescent="0.2">
      <c r="A20" s="8"/>
      <c r="B20" s="1"/>
      <c r="C20" s="10"/>
      <c r="D20" s="1"/>
      <c r="E20" s="10"/>
      <c r="F20" s="2">
        <v>61109</v>
      </c>
      <c r="G20" s="6" t="s">
        <v>567</v>
      </c>
      <c r="H20" s="240"/>
      <c r="J20" s="194"/>
      <c r="K20" s="21"/>
    </row>
    <row r="21" spans="1:11" s="207" customFormat="1" ht="15.75" customHeight="1" x14ac:dyDescent="0.2">
      <c r="A21" s="8"/>
      <c r="B21" s="1"/>
      <c r="C21" s="10"/>
      <c r="D21" s="1"/>
      <c r="E21" s="10"/>
      <c r="F21" s="2">
        <v>61199</v>
      </c>
      <c r="G21" s="6" t="s">
        <v>170</v>
      </c>
      <c r="H21" s="240">
        <v>0</v>
      </c>
      <c r="J21" s="194"/>
      <c r="K21" s="21"/>
    </row>
    <row r="22" spans="1:11" s="207" customFormat="1" ht="15.75" customHeight="1" x14ac:dyDescent="0.2">
      <c r="A22" s="8">
        <v>3</v>
      </c>
      <c r="B22" s="1" t="s">
        <v>53</v>
      </c>
      <c r="C22" s="10" t="s">
        <v>53</v>
      </c>
      <c r="D22" s="1" t="s">
        <v>51</v>
      </c>
      <c r="E22" s="10" t="s">
        <v>54</v>
      </c>
      <c r="F22" s="2">
        <v>61501</v>
      </c>
      <c r="G22" s="6" t="s">
        <v>244</v>
      </c>
      <c r="H22" s="240"/>
      <c r="J22" s="194"/>
      <c r="K22" s="21"/>
    </row>
    <row r="23" spans="1:11" s="207" customFormat="1" ht="15.75" customHeight="1" x14ac:dyDescent="0.2">
      <c r="A23" s="8">
        <v>3</v>
      </c>
      <c r="B23" s="1" t="s">
        <v>53</v>
      </c>
      <c r="C23" s="10" t="s">
        <v>53</v>
      </c>
      <c r="D23" s="1" t="s">
        <v>51</v>
      </c>
      <c r="E23" s="10" t="s">
        <v>54</v>
      </c>
      <c r="F23" s="2">
        <v>61502</v>
      </c>
      <c r="G23" s="6" t="s">
        <v>245</v>
      </c>
      <c r="H23" s="240"/>
      <c r="J23" s="194"/>
      <c r="K23" s="21"/>
    </row>
    <row r="24" spans="1:11" ht="15.75" customHeight="1" x14ac:dyDescent="0.2">
      <c r="A24" s="8">
        <v>3</v>
      </c>
      <c r="B24" s="1" t="s">
        <v>53</v>
      </c>
      <c r="C24" s="10" t="s">
        <v>53</v>
      </c>
      <c r="D24" s="1" t="s">
        <v>51</v>
      </c>
      <c r="E24" s="10" t="s">
        <v>54</v>
      </c>
      <c r="F24" s="2">
        <v>61503</v>
      </c>
      <c r="G24" s="6" t="s">
        <v>246</v>
      </c>
      <c r="H24" s="240"/>
    </row>
    <row r="25" spans="1:11" ht="15.75" customHeight="1" x14ac:dyDescent="0.2">
      <c r="A25" s="8">
        <v>3</v>
      </c>
      <c r="B25" s="1" t="s">
        <v>53</v>
      </c>
      <c r="C25" s="10" t="s">
        <v>53</v>
      </c>
      <c r="D25" s="1" t="s">
        <v>51</v>
      </c>
      <c r="E25" s="10" t="s">
        <v>54</v>
      </c>
      <c r="F25" s="2">
        <v>61599</v>
      </c>
      <c r="G25" s="6" t="s">
        <v>189</v>
      </c>
      <c r="H25" s="240">
        <v>15000</v>
      </c>
    </row>
    <row r="26" spans="1:11" ht="15.75" customHeight="1" x14ac:dyDescent="0.2">
      <c r="A26" s="8">
        <v>3</v>
      </c>
      <c r="B26" s="1" t="s">
        <v>53</v>
      </c>
      <c r="C26" s="10" t="s">
        <v>53</v>
      </c>
      <c r="D26" s="1" t="s">
        <v>51</v>
      </c>
      <c r="E26" s="10" t="s">
        <v>54</v>
      </c>
      <c r="F26" s="2">
        <v>61601</v>
      </c>
      <c r="G26" s="6" t="s">
        <v>190</v>
      </c>
      <c r="H26" s="240">
        <f>1048648.81-321351.35</f>
        <v>727297.46000000008</v>
      </c>
    </row>
    <row r="27" spans="1:11" ht="15.75" customHeight="1" x14ac:dyDescent="0.2">
      <c r="A27" s="8">
        <v>3</v>
      </c>
      <c r="B27" s="1" t="s">
        <v>53</v>
      </c>
      <c r="C27" s="10" t="s">
        <v>53</v>
      </c>
      <c r="D27" s="1" t="s">
        <v>51</v>
      </c>
      <c r="E27" s="10" t="s">
        <v>54</v>
      </c>
      <c r="F27" s="2">
        <v>61602</v>
      </c>
      <c r="G27" s="6" t="s">
        <v>247</v>
      </c>
      <c r="H27" s="240">
        <v>0</v>
      </c>
    </row>
    <row r="28" spans="1:11" ht="15.75" customHeight="1" x14ac:dyDescent="0.2">
      <c r="A28" s="8">
        <v>3</v>
      </c>
      <c r="B28" s="1" t="s">
        <v>53</v>
      </c>
      <c r="C28" s="10" t="s">
        <v>53</v>
      </c>
      <c r="D28" s="1" t="s">
        <v>51</v>
      </c>
      <c r="E28" s="10" t="s">
        <v>54</v>
      </c>
      <c r="F28" s="2">
        <v>61603</v>
      </c>
      <c r="G28" s="6" t="s">
        <v>248</v>
      </c>
      <c r="H28" s="240">
        <v>0</v>
      </c>
    </row>
    <row r="29" spans="1:11" ht="15.75" customHeight="1" x14ac:dyDescent="0.2">
      <c r="A29" s="8">
        <v>3</v>
      </c>
      <c r="B29" s="1" t="s">
        <v>53</v>
      </c>
      <c r="C29" s="10" t="s">
        <v>53</v>
      </c>
      <c r="D29" s="1" t="s">
        <v>51</v>
      </c>
      <c r="E29" s="10" t="s">
        <v>54</v>
      </c>
      <c r="F29" s="2">
        <v>61604</v>
      </c>
      <c r="G29" s="6" t="s">
        <v>249</v>
      </c>
      <c r="H29" s="240"/>
    </row>
    <row r="30" spans="1:11" ht="15.75" customHeight="1" x14ac:dyDescent="0.2">
      <c r="A30" s="8">
        <v>3</v>
      </c>
      <c r="B30" s="1" t="s">
        <v>53</v>
      </c>
      <c r="C30" s="10" t="s">
        <v>53</v>
      </c>
      <c r="D30" s="1" t="s">
        <v>51</v>
      </c>
      <c r="E30" s="10" t="s">
        <v>54</v>
      </c>
      <c r="F30" s="2">
        <v>61606</v>
      </c>
      <c r="G30" s="6" t="s">
        <v>250</v>
      </c>
      <c r="H30" s="240"/>
    </row>
    <row r="31" spans="1:11" ht="15.75" customHeight="1" x14ac:dyDescent="0.2">
      <c r="A31" s="8">
        <v>3</v>
      </c>
      <c r="B31" s="1" t="s">
        <v>53</v>
      </c>
      <c r="C31" s="10" t="s">
        <v>53</v>
      </c>
      <c r="D31" s="1" t="s">
        <v>51</v>
      </c>
      <c r="E31" s="10" t="s">
        <v>54</v>
      </c>
      <c r="F31" s="2">
        <v>61607</v>
      </c>
      <c r="G31" s="6" t="s">
        <v>191</v>
      </c>
      <c r="H31" s="240"/>
    </row>
    <row r="32" spans="1:11" ht="15.75" customHeight="1" x14ac:dyDescent="0.2">
      <c r="A32" s="8">
        <v>3</v>
      </c>
      <c r="B32" s="1" t="s">
        <v>53</v>
      </c>
      <c r="C32" s="10" t="s">
        <v>53</v>
      </c>
      <c r="D32" s="1" t="s">
        <v>51</v>
      </c>
      <c r="E32" s="10" t="s">
        <v>54</v>
      </c>
      <c r="F32" s="2">
        <v>61608</v>
      </c>
      <c r="G32" s="6" t="s">
        <v>192</v>
      </c>
      <c r="H32" s="240">
        <v>15000</v>
      </c>
    </row>
    <row r="33" spans="1:11" ht="15.75" customHeight="1" x14ac:dyDescent="0.2">
      <c r="A33" s="8">
        <v>3</v>
      </c>
      <c r="B33" s="1" t="s">
        <v>53</v>
      </c>
      <c r="C33" s="10" t="s">
        <v>53</v>
      </c>
      <c r="D33" s="1" t="s">
        <v>51</v>
      </c>
      <c r="E33" s="10" t="s">
        <v>54</v>
      </c>
      <c r="F33" s="2">
        <v>61609</v>
      </c>
      <c r="G33" s="6" t="s">
        <v>567</v>
      </c>
      <c r="H33" s="240">
        <v>0</v>
      </c>
    </row>
    <row r="34" spans="1:11" ht="15.75" customHeight="1" x14ac:dyDescent="0.2">
      <c r="A34" s="8">
        <v>3</v>
      </c>
      <c r="B34" s="1" t="s">
        <v>53</v>
      </c>
      <c r="C34" s="10" t="s">
        <v>53</v>
      </c>
      <c r="D34" s="1" t="s">
        <v>51</v>
      </c>
      <c r="E34" s="10" t="s">
        <v>54</v>
      </c>
      <c r="F34" s="2">
        <v>61699</v>
      </c>
      <c r="G34" s="6" t="s">
        <v>193</v>
      </c>
      <c r="H34" s="240">
        <v>0</v>
      </c>
    </row>
    <row r="35" spans="1:11" ht="15.75" customHeight="1" x14ac:dyDescent="0.2">
      <c r="A35" s="18"/>
      <c r="B35" s="16"/>
      <c r="C35" s="1"/>
      <c r="D35" s="16"/>
      <c r="E35" s="282"/>
      <c r="F35" s="228">
        <v>61201</v>
      </c>
      <c r="G35" s="7" t="s">
        <v>363</v>
      </c>
      <c r="H35" s="242">
        <v>0</v>
      </c>
    </row>
    <row r="36" spans="1:11" ht="15.75" customHeight="1" thickBot="1" x14ac:dyDescent="0.25">
      <c r="A36" s="18"/>
      <c r="B36" s="16"/>
      <c r="C36" s="227"/>
      <c r="D36" s="16"/>
      <c r="E36" s="227"/>
      <c r="F36" s="228">
        <v>72101</v>
      </c>
      <c r="G36" s="7" t="s">
        <v>610</v>
      </c>
      <c r="H36" s="242">
        <f>51469.61+321351.35</f>
        <v>372820.95999999996</v>
      </c>
    </row>
    <row r="37" spans="1:11" ht="27.75" customHeight="1" thickBot="1" x14ac:dyDescent="0.35">
      <c r="A37" s="643"/>
      <c r="B37" s="644"/>
      <c r="C37" s="644"/>
      <c r="D37" s="644"/>
      <c r="E37" s="644"/>
      <c r="F37" s="645"/>
      <c r="G37" s="449" t="s">
        <v>194</v>
      </c>
      <c r="H37" s="337">
        <f>SUM(H11:H36)</f>
        <v>1130118.42</v>
      </c>
      <c r="J37" s="198"/>
      <c r="K37" s="86"/>
    </row>
    <row r="38" spans="1:11" x14ac:dyDescent="0.2">
      <c r="A38" s="23"/>
      <c r="B38" s="23"/>
      <c r="C38" s="23"/>
      <c r="D38" s="23"/>
      <c r="E38" s="23"/>
      <c r="F38" s="23"/>
      <c r="H38" s="38"/>
      <c r="K38" s="195"/>
    </row>
    <row r="39" spans="1:11" ht="15.75" x14ac:dyDescent="0.25">
      <c r="A39" s="34"/>
      <c r="B39" s="34"/>
      <c r="C39" s="34"/>
      <c r="D39" s="34"/>
      <c r="E39" s="34"/>
      <c r="F39" s="34"/>
      <c r="G39" s="39"/>
      <c r="H39" s="208"/>
      <c r="K39" s="195"/>
    </row>
    <row r="40" spans="1:11" ht="19.5" customHeight="1" x14ac:dyDescent="0.2">
      <c r="A40" s="651" t="s">
        <v>12</v>
      </c>
      <c r="B40" s="651"/>
      <c r="C40" s="651"/>
      <c r="D40" s="651"/>
      <c r="E40" s="651"/>
      <c r="F40" s="651"/>
      <c r="H40" s="209">
        <f>+H37-H39</f>
        <v>1130118.42</v>
      </c>
      <c r="K40" s="229"/>
    </row>
    <row r="41" spans="1:11" x14ac:dyDescent="0.2">
      <c r="A41" s="646" t="s">
        <v>2</v>
      </c>
      <c r="B41" s="646"/>
      <c r="C41" s="646"/>
      <c r="D41" s="646"/>
      <c r="E41" s="646"/>
      <c r="F41" s="646"/>
      <c r="G41" s="646"/>
    </row>
    <row r="42" spans="1:11" x14ac:dyDescent="0.2">
      <c r="A42" s="646" t="s">
        <v>849</v>
      </c>
      <c r="B42" s="646"/>
      <c r="C42" s="646"/>
      <c r="D42" s="646"/>
      <c r="E42" s="646"/>
      <c r="F42" s="646"/>
      <c r="G42" s="646"/>
      <c r="H42" s="89"/>
    </row>
    <row r="43" spans="1:11" x14ac:dyDescent="0.2">
      <c r="A43" s="646" t="s">
        <v>850</v>
      </c>
      <c r="B43" s="646"/>
      <c r="C43" s="646"/>
      <c r="D43" s="646"/>
      <c r="E43" s="646"/>
      <c r="F43" s="646"/>
      <c r="G43" s="646"/>
    </row>
    <row r="44" spans="1:11" x14ac:dyDescent="0.2">
      <c r="A44" s="646"/>
      <c r="B44" s="646"/>
      <c r="C44" s="646"/>
      <c r="D44" s="646"/>
      <c r="E44" s="646"/>
      <c r="F44" s="646"/>
      <c r="G44" s="646"/>
    </row>
  </sheetData>
  <mergeCells count="18">
    <mergeCell ref="A5:H5"/>
    <mergeCell ref="A1:D1"/>
    <mergeCell ref="E1:H1"/>
    <mergeCell ref="A2:I2"/>
    <mergeCell ref="A3:H3"/>
    <mergeCell ref="A4:H4"/>
    <mergeCell ref="A44:G44"/>
    <mergeCell ref="A6:H6"/>
    <mergeCell ref="A7:H7"/>
    <mergeCell ref="A8:H8"/>
    <mergeCell ref="A9:F9"/>
    <mergeCell ref="G9:G10"/>
    <mergeCell ref="H9:H10"/>
    <mergeCell ref="A37:F37"/>
    <mergeCell ref="A40:F40"/>
    <mergeCell ref="A41:G41"/>
    <mergeCell ref="A42:G42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51"/>
  <sheetViews>
    <sheetView view="pageBreakPreview" topLeftCell="A40" zoomScale="86" zoomScaleNormal="100" zoomScaleSheetLayoutView="86" workbookViewId="0">
      <selection activeCell="H56" sqref="H56"/>
    </sheetView>
  </sheetViews>
  <sheetFormatPr baseColWidth="10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0.28515625" style="24" customWidth="1"/>
    <col min="7" max="7" width="49.28515625" style="19" customWidth="1"/>
    <col min="8" max="8" width="21.28515625" style="4" customWidth="1"/>
    <col min="9" max="9" width="11.42578125" style="207"/>
    <col min="10" max="10" width="14.7109375" style="194" bestFit="1" customWidth="1"/>
    <col min="11" max="11" width="13.7109375" style="21" bestFit="1" customWidth="1"/>
    <col min="12" max="16384" width="11.42578125" style="21"/>
  </cols>
  <sheetData>
    <row r="1" spans="1:11" ht="20.25" x14ac:dyDescent="0.25">
      <c r="A1" s="560"/>
      <c r="B1" s="560"/>
      <c r="C1" s="560"/>
      <c r="D1" s="560"/>
      <c r="E1" s="560"/>
      <c r="F1" s="560"/>
      <c r="G1" s="560"/>
      <c r="H1" s="560"/>
      <c r="I1" s="206"/>
    </row>
    <row r="2" spans="1:11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620"/>
    </row>
    <row r="3" spans="1:11" ht="15.75" x14ac:dyDescent="0.25">
      <c r="A3" s="624" t="s">
        <v>216</v>
      </c>
      <c r="B3" s="557"/>
      <c r="C3" s="557"/>
      <c r="D3" s="557"/>
      <c r="E3" s="557"/>
      <c r="F3" s="557"/>
      <c r="G3" s="557"/>
      <c r="H3" s="557"/>
      <c r="K3" s="86"/>
    </row>
    <row r="4" spans="1:11" ht="15.75" x14ac:dyDescent="0.25">
      <c r="A4" s="624" t="s">
        <v>640</v>
      </c>
      <c r="B4" s="557"/>
      <c r="C4" s="557"/>
      <c r="D4" s="557"/>
      <c r="E4" s="557"/>
      <c r="F4" s="557"/>
      <c r="G4" s="557"/>
      <c r="H4" s="557"/>
      <c r="K4" s="86"/>
    </row>
    <row r="5" spans="1:11" ht="15" x14ac:dyDescent="0.2">
      <c r="A5" s="635" t="s">
        <v>11</v>
      </c>
      <c r="B5" s="636"/>
      <c r="C5" s="636"/>
      <c r="D5" s="636"/>
      <c r="E5" s="636"/>
      <c r="F5" s="636"/>
      <c r="G5" s="636"/>
      <c r="H5" s="636"/>
    </row>
    <row r="6" spans="1:11" ht="8.25" customHeight="1" x14ac:dyDescent="0.25">
      <c r="A6" s="637"/>
      <c r="B6" s="638"/>
      <c r="C6" s="638"/>
      <c r="D6" s="638"/>
      <c r="E6" s="638"/>
      <c r="F6" s="638"/>
      <c r="G6" s="638"/>
      <c r="H6" s="638"/>
    </row>
    <row r="7" spans="1:11" ht="15.75" x14ac:dyDescent="0.25">
      <c r="A7" s="647" t="s">
        <v>176</v>
      </c>
      <c r="B7" s="647"/>
      <c r="C7" s="647"/>
      <c r="D7" s="647"/>
      <c r="E7" s="647"/>
      <c r="F7" s="647"/>
      <c r="G7" s="647"/>
      <c r="H7" s="647"/>
      <c r="K7" s="86"/>
    </row>
    <row r="8" spans="1:11" ht="16.5" thickBot="1" x14ac:dyDescent="0.3">
      <c r="A8" s="648" t="s">
        <v>851</v>
      </c>
      <c r="B8" s="648"/>
      <c r="C8" s="648"/>
      <c r="D8" s="648"/>
      <c r="E8" s="648"/>
      <c r="F8" s="648"/>
      <c r="G8" s="648"/>
      <c r="H8" s="648"/>
      <c r="K8" s="86"/>
    </row>
    <row r="9" spans="1:11" ht="15.75" thickBot="1" x14ac:dyDescent="0.3">
      <c r="A9" s="649" t="s">
        <v>0</v>
      </c>
      <c r="B9" s="650"/>
      <c r="C9" s="650"/>
      <c r="D9" s="650"/>
      <c r="E9" s="650"/>
      <c r="F9" s="650"/>
      <c r="G9" s="631" t="s">
        <v>151</v>
      </c>
      <c r="H9" s="633" t="s">
        <v>152</v>
      </c>
      <c r="K9" s="86"/>
    </row>
    <row r="10" spans="1:11" s="22" customFormat="1" ht="200.25" customHeight="1" thickBot="1" x14ac:dyDescent="0.25">
      <c r="A10" s="330" t="s">
        <v>144</v>
      </c>
      <c r="B10" s="331" t="s">
        <v>145</v>
      </c>
      <c r="C10" s="331" t="s">
        <v>122</v>
      </c>
      <c r="D10" s="331" t="s">
        <v>146</v>
      </c>
      <c r="E10" s="332" t="s">
        <v>153</v>
      </c>
      <c r="F10" s="333" t="s">
        <v>99</v>
      </c>
      <c r="G10" s="632"/>
      <c r="H10" s="634"/>
      <c r="I10" s="87"/>
      <c r="J10" s="199"/>
    </row>
    <row r="11" spans="1:11" s="207" customFormat="1" ht="15.75" customHeight="1" x14ac:dyDescent="0.2">
      <c r="A11" s="8">
        <v>4</v>
      </c>
      <c r="B11" s="1" t="s">
        <v>409</v>
      </c>
      <c r="C11" s="10" t="s">
        <v>49</v>
      </c>
      <c r="D11" s="1" t="s">
        <v>51</v>
      </c>
      <c r="E11" s="10" t="s">
        <v>853</v>
      </c>
      <c r="F11" s="204">
        <v>54101</v>
      </c>
      <c r="G11" s="205" t="s">
        <v>38</v>
      </c>
      <c r="H11" s="240">
        <v>100000</v>
      </c>
      <c r="J11" s="194"/>
      <c r="K11" s="21"/>
    </row>
    <row r="12" spans="1:11" s="207" customFormat="1" ht="15.75" customHeight="1" x14ac:dyDescent="0.2">
      <c r="A12" s="8">
        <v>4</v>
      </c>
      <c r="B12" s="1" t="s">
        <v>409</v>
      </c>
      <c r="C12" s="10" t="s">
        <v>49</v>
      </c>
      <c r="D12" s="1" t="s">
        <v>51</v>
      </c>
      <c r="E12" s="10" t="s">
        <v>853</v>
      </c>
      <c r="F12" s="2">
        <v>54103</v>
      </c>
      <c r="G12" s="6" t="s">
        <v>177</v>
      </c>
      <c r="H12" s="240"/>
      <c r="J12" s="194"/>
      <c r="K12" s="21"/>
    </row>
    <row r="13" spans="1:11" s="207" customFormat="1" ht="15.75" customHeight="1" x14ac:dyDescent="0.2">
      <c r="A13" s="8">
        <v>4</v>
      </c>
      <c r="B13" s="1" t="s">
        <v>409</v>
      </c>
      <c r="C13" s="10" t="s">
        <v>49</v>
      </c>
      <c r="D13" s="1" t="s">
        <v>51</v>
      </c>
      <c r="E13" s="10" t="s">
        <v>853</v>
      </c>
      <c r="F13" s="2">
        <v>54104</v>
      </c>
      <c r="G13" s="6" t="s">
        <v>156</v>
      </c>
      <c r="H13" s="240"/>
      <c r="J13" s="194"/>
      <c r="K13" s="21"/>
    </row>
    <row r="14" spans="1:11" s="207" customFormat="1" ht="15.75" customHeight="1" x14ac:dyDescent="0.2">
      <c r="A14" s="8">
        <v>4</v>
      </c>
      <c r="B14" s="1" t="s">
        <v>409</v>
      </c>
      <c r="C14" s="10" t="s">
        <v>49</v>
      </c>
      <c r="D14" s="1" t="s">
        <v>51</v>
      </c>
      <c r="E14" s="10" t="s">
        <v>853</v>
      </c>
      <c r="F14" s="2">
        <v>54105</v>
      </c>
      <c r="G14" s="6" t="s">
        <v>563</v>
      </c>
      <c r="H14" s="240"/>
      <c r="J14" s="194"/>
      <c r="K14" s="21"/>
    </row>
    <row r="15" spans="1:11" s="207" customFormat="1" ht="15.75" customHeight="1" x14ac:dyDescent="0.2">
      <c r="A15" s="8">
        <v>4</v>
      </c>
      <c r="B15" s="1" t="s">
        <v>409</v>
      </c>
      <c r="C15" s="10" t="s">
        <v>49</v>
      </c>
      <c r="D15" s="1" t="s">
        <v>51</v>
      </c>
      <c r="E15" s="10" t="s">
        <v>853</v>
      </c>
      <c r="F15" s="2">
        <v>54106</v>
      </c>
      <c r="G15" s="6" t="s">
        <v>178</v>
      </c>
      <c r="H15" s="240"/>
      <c r="J15" s="194"/>
      <c r="K15" s="21"/>
    </row>
    <row r="16" spans="1:11" s="207" customFormat="1" ht="15.75" customHeight="1" x14ac:dyDescent="0.2">
      <c r="A16" s="8">
        <v>4</v>
      </c>
      <c r="B16" s="1" t="s">
        <v>409</v>
      </c>
      <c r="C16" s="10" t="s">
        <v>49</v>
      </c>
      <c r="D16" s="1" t="s">
        <v>51</v>
      </c>
      <c r="E16" s="10" t="s">
        <v>853</v>
      </c>
      <c r="F16" s="2">
        <v>54107</v>
      </c>
      <c r="G16" s="6" t="s">
        <v>158</v>
      </c>
      <c r="H16" s="240">
        <v>100000</v>
      </c>
      <c r="J16" s="194"/>
      <c r="K16" s="21"/>
    </row>
    <row r="17" spans="1:11" s="207" customFormat="1" ht="15.75" customHeight="1" x14ac:dyDescent="0.2">
      <c r="A17" s="8">
        <v>4</v>
      </c>
      <c r="B17" s="1" t="s">
        <v>409</v>
      </c>
      <c r="C17" s="10" t="s">
        <v>49</v>
      </c>
      <c r="D17" s="1" t="s">
        <v>51</v>
      </c>
      <c r="E17" s="10" t="s">
        <v>853</v>
      </c>
      <c r="F17" s="2">
        <v>54109</v>
      </c>
      <c r="G17" s="6" t="s">
        <v>347</v>
      </c>
      <c r="H17" s="240"/>
      <c r="J17" s="194"/>
      <c r="K17" s="21"/>
    </row>
    <row r="18" spans="1:11" s="207" customFormat="1" ht="15.75" customHeight="1" x14ac:dyDescent="0.2">
      <c r="A18" s="8">
        <v>4</v>
      </c>
      <c r="B18" s="1" t="s">
        <v>409</v>
      </c>
      <c r="C18" s="10" t="s">
        <v>49</v>
      </c>
      <c r="D18" s="1" t="s">
        <v>51</v>
      </c>
      <c r="E18" s="10" t="s">
        <v>853</v>
      </c>
      <c r="F18" s="2">
        <v>54110</v>
      </c>
      <c r="G18" s="6" t="s">
        <v>40</v>
      </c>
      <c r="H18" s="240"/>
      <c r="J18" s="194"/>
      <c r="K18" s="21"/>
    </row>
    <row r="19" spans="1:11" s="207" customFormat="1" ht="15.75" customHeight="1" x14ac:dyDescent="0.2">
      <c r="A19" s="8">
        <v>4</v>
      </c>
      <c r="B19" s="1" t="s">
        <v>409</v>
      </c>
      <c r="C19" s="10" t="s">
        <v>49</v>
      </c>
      <c r="D19" s="1" t="s">
        <v>51</v>
      </c>
      <c r="E19" s="10" t="s">
        <v>853</v>
      </c>
      <c r="F19" s="2">
        <v>54111</v>
      </c>
      <c r="G19" s="6" t="s">
        <v>47</v>
      </c>
      <c r="H19" s="240">
        <v>0</v>
      </c>
      <c r="J19" s="194"/>
      <c r="K19" s="21"/>
    </row>
    <row r="20" spans="1:11" s="207" customFormat="1" ht="15.75" customHeight="1" x14ac:dyDescent="0.2">
      <c r="A20" s="8">
        <v>4</v>
      </c>
      <c r="B20" s="1" t="s">
        <v>409</v>
      </c>
      <c r="C20" s="10" t="s">
        <v>49</v>
      </c>
      <c r="D20" s="1" t="s">
        <v>51</v>
      </c>
      <c r="E20" s="10" t="s">
        <v>853</v>
      </c>
      <c r="F20" s="2">
        <v>54112</v>
      </c>
      <c r="G20" s="6" t="s">
        <v>46</v>
      </c>
      <c r="H20" s="240">
        <v>0</v>
      </c>
      <c r="J20" s="194"/>
      <c r="K20" s="21"/>
    </row>
    <row r="21" spans="1:11" s="207" customFormat="1" ht="26.25" customHeight="1" x14ac:dyDescent="0.2">
      <c r="A21" s="8">
        <v>4</v>
      </c>
      <c r="B21" s="1" t="s">
        <v>409</v>
      </c>
      <c r="C21" s="10" t="s">
        <v>49</v>
      </c>
      <c r="D21" s="1" t="s">
        <v>51</v>
      </c>
      <c r="E21" s="10" t="s">
        <v>853</v>
      </c>
      <c r="F21" s="2">
        <v>54113</v>
      </c>
      <c r="G21" s="432" t="s">
        <v>852</v>
      </c>
      <c r="H21" s="240">
        <v>100000</v>
      </c>
      <c r="J21" s="194"/>
      <c r="K21" s="21"/>
    </row>
    <row r="22" spans="1:11" s="207" customFormat="1" ht="15.75" customHeight="1" x14ac:dyDescent="0.2">
      <c r="A22" s="8">
        <v>4</v>
      </c>
      <c r="B22" s="1" t="s">
        <v>409</v>
      </c>
      <c r="C22" s="10" t="s">
        <v>49</v>
      </c>
      <c r="D22" s="1" t="s">
        <v>51</v>
      </c>
      <c r="E22" s="10" t="s">
        <v>853</v>
      </c>
      <c r="F22" s="2">
        <v>54115</v>
      </c>
      <c r="G22" s="6" t="s">
        <v>577</v>
      </c>
      <c r="H22" s="240"/>
      <c r="J22" s="194"/>
      <c r="K22" s="21"/>
    </row>
    <row r="23" spans="1:11" s="207" customFormat="1" ht="15.75" customHeight="1" x14ac:dyDescent="0.2">
      <c r="A23" s="8">
        <v>4</v>
      </c>
      <c r="B23" s="1" t="s">
        <v>409</v>
      </c>
      <c r="C23" s="10" t="s">
        <v>49</v>
      </c>
      <c r="D23" s="1" t="s">
        <v>51</v>
      </c>
      <c r="E23" s="10" t="s">
        <v>853</v>
      </c>
      <c r="F23" s="2">
        <v>54118</v>
      </c>
      <c r="G23" s="6" t="s">
        <v>361</v>
      </c>
      <c r="H23" s="240"/>
      <c r="J23" s="194"/>
      <c r="K23" s="21"/>
    </row>
    <row r="24" spans="1:11" s="207" customFormat="1" ht="15.75" customHeight="1" x14ac:dyDescent="0.2">
      <c r="A24" s="8"/>
      <c r="B24" s="1"/>
      <c r="C24" s="10"/>
      <c r="D24" s="1"/>
      <c r="E24" s="10" t="s">
        <v>853</v>
      </c>
      <c r="F24" s="2">
        <v>54119</v>
      </c>
      <c r="G24" s="6" t="s">
        <v>89</v>
      </c>
      <c r="H24" s="240"/>
      <c r="J24" s="194"/>
      <c r="K24" s="21"/>
    </row>
    <row r="25" spans="1:11" s="207" customFormat="1" ht="15.75" customHeight="1" x14ac:dyDescent="0.2">
      <c r="A25" s="8"/>
      <c r="B25" s="1"/>
      <c r="C25" s="10"/>
      <c r="D25" s="1"/>
      <c r="E25" s="10" t="s">
        <v>853</v>
      </c>
      <c r="F25" s="2">
        <v>54199</v>
      </c>
      <c r="G25" s="6" t="s">
        <v>98</v>
      </c>
      <c r="H25" s="240">
        <v>377495.46</v>
      </c>
      <c r="J25" s="194"/>
      <c r="K25" s="21"/>
    </row>
    <row r="26" spans="1:11" s="207" customFormat="1" ht="15.75" customHeight="1" x14ac:dyDescent="0.2">
      <c r="A26" s="8"/>
      <c r="B26" s="1"/>
      <c r="C26" s="10"/>
      <c r="D26" s="1"/>
      <c r="E26" s="10" t="s">
        <v>853</v>
      </c>
      <c r="F26" s="2">
        <v>61108</v>
      </c>
      <c r="G26" s="6" t="s">
        <v>566</v>
      </c>
      <c r="H26" s="240">
        <v>0</v>
      </c>
      <c r="J26" s="194"/>
      <c r="K26" s="21"/>
    </row>
    <row r="27" spans="1:11" s="207" customFormat="1" ht="15.75" customHeight="1" x14ac:dyDescent="0.2">
      <c r="A27" s="8"/>
      <c r="B27" s="1"/>
      <c r="C27" s="10"/>
      <c r="D27" s="1"/>
      <c r="E27" s="10" t="s">
        <v>853</v>
      </c>
      <c r="F27" s="2">
        <v>61109</v>
      </c>
      <c r="G27" s="6" t="s">
        <v>567</v>
      </c>
      <c r="H27" s="240"/>
      <c r="J27" s="194"/>
      <c r="K27" s="21"/>
    </row>
    <row r="28" spans="1:11" s="207" customFormat="1" ht="15.75" customHeight="1" x14ac:dyDescent="0.2">
      <c r="A28" s="8"/>
      <c r="B28" s="1"/>
      <c r="C28" s="10"/>
      <c r="D28" s="1"/>
      <c r="E28" s="10" t="s">
        <v>853</v>
      </c>
      <c r="F28" s="2">
        <v>61199</v>
      </c>
      <c r="G28" s="6" t="s">
        <v>170</v>
      </c>
      <c r="H28" s="240">
        <v>0</v>
      </c>
      <c r="J28" s="194"/>
      <c r="K28" s="21"/>
    </row>
    <row r="29" spans="1:11" s="207" customFormat="1" ht="15.75" customHeight="1" x14ac:dyDescent="0.2">
      <c r="A29" s="8">
        <v>4</v>
      </c>
      <c r="B29" s="1" t="s">
        <v>409</v>
      </c>
      <c r="C29" s="10" t="s">
        <v>49</v>
      </c>
      <c r="D29" s="1" t="s">
        <v>51</v>
      </c>
      <c r="E29" s="10" t="s">
        <v>853</v>
      </c>
      <c r="F29" s="2">
        <v>61501</v>
      </c>
      <c r="G29" s="6" t="s">
        <v>244</v>
      </c>
      <c r="H29" s="240"/>
      <c r="J29" s="194"/>
      <c r="K29" s="21"/>
    </row>
    <row r="30" spans="1:11" s="207" customFormat="1" ht="15.75" customHeight="1" x14ac:dyDescent="0.2">
      <c r="A30" s="8">
        <v>4</v>
      </c>
      <c r="B30" s="1" t="s">
        <v>409</v>
      </c>
      <c r="C30" s="10" t="s">
        <v>49</v>
      </c>
      <c r="D30" s="1" t="s">
        <v>51</v>
      </c>
      <c r="E30" s="10" t="s">
        <v>853</v>
      </c>
      <c r="F30" s="2">
        <v>61502</v>
      </c>
      <c r="G30" s="6" t="s">
        <v>245</v>
      </c>
      <c r="H30" s="240"/>
      <c r="J30" s="194"/>
      <c r="K30" s="21"/>
    </row>
    <row r="31" spans="1:11" ht="15.75" customHeight="1" x14ac:dyDescent="0.2">
      <c r="A31" s="8">
        <v>4</v>
      </c>
      <c r="B31" s="1" t="s">
        <v>409</v>
      </c>
      <c r="C31" s="10" t="s">
        <v>49</v>
      </c>
      <c r="D31" s="1" t="s">
        <v>51</v>
      </c>
      <c r="E31" s="10" t="s">
        <v>853</v>
      </c>
      <c r="F31" s="2">
        <v>61503</v>
      </c>
      <c r="G31" s="6" t="s">
        <v>246</v>
      </c>
      <c r="H31" s="240"/>
    </row>
    <row r="32" spans="1:11" ht="15.75" customHeight="1" x14ac:dyDescent="0.2">
      <c r="A32" s="8">
        <v>4</v>
      </c>
      <c r="B32" s="1" t="s">
        <v>409</v>
      </c>
      <c r="C32" s="10" t="s">
        <v>49</v>
      </c>
      <c r="D32" s="1" t="s">
        <v>51</v>
      </c>
      <c r="E32" s="10" t="s">
        <v>853</v>
      </c>
      <c r="F32" s="2">
        <v>61599</v>
      </c>
      <c r="G32" s="6" t="s">
        <v>189</v>
      </c>
      <c r="H32" s="240">
        <v>0</v>
      </c>
    </row>
    <row r="33" spans="1:11" ht="15.75" customHeight="1" x14ac:dyDescent="0.2">
      <c r="A33" s="8">
        <v>4</v>
      </c>
      <c r="B33" s="1" t="s">
        <v>409</v>
      </c>
      <c r="C33" s="10" t="s">
        <v>49</v>
      </c>
      <c r="D33" s="1" t="s">
        <v>51</v>
      </c>
      <c r="E33" s="10" t="s">
        <v>853</v>
      </c>
      <c r="F33" s="2">
        <v>61601</v>
      </c>
      <c r="G33" s="6" t="s">
        <v>190</v>
      </c>
      <c r="H33" s="240"/>
    </row>
    <row r="34" spans="1:11" ht="15.75" customHeight="1" x14ac:dyDescent="0.2">
      <c r="A34" s="8">
        <v>4</v>
      </c>
      <c r="B34" s="1" t="s">
        <v>409</v>
      </c>
      <c r="C34" s="10" t="s">
        <v>49</v>
      </c>
      <c r="D34" s="1" t="s">
        <v>51</v>
      </c>
      <c r="E34" s="10" t="s">
        <v>853</v>
      </c>
      <c r="F34" s="2">
        <v>61602</v>
      </c>
      <c r="G34" s="6" t="s">
        <v>247</v>
      </c>
      <c r="H34" s="240">
        <v>0</v>
      </c>
    </row>
    <row r="35" spans="1:11" ht="15.75" customHeight="1" x14ac:dyDescent="0.2">
      <c r="A35" s="8">
        <v>4</v>
      </c>
      <c r="B35" s="1" t="s">
        <v>409</v>
      </c>
      <c r="C35" s="10" t="s">
        <v>49</v>
      </c>
      <c r="D35" s="1" t="s">
        <v>51</v>
      </c>
      <c r="E35" s="10" t="s">
        <v>853</v>
      </c>
      <c r="F35" s="2">
        <v>61603</v>
      </c>
      <c r="G35" s="6" t="s">
        <v>248</v>
      </c>
      <c r="H35" s="240">
        <v>0</v>
      </c>
    </row>
    <row r="36" spans="1:11" ht="15.75" customHeight="1" x14ac:dyDescent="0.2">
      <c r="A36" s="8">
        <v>4</v>
      </c>
      <c r="B36" s="1" t="s">
        <v>409</v>
      </c>
      <c r="C36" s="10" t="s">
        <v>49</v>
      </c>
      <c r="D36" s="1" t="s">
        <v>51</v>
      </c>
      <c r="E36" s="10" t="s">
        <v>853</v>
      </c>
      <c r="F36" s="2">
        <v>61604</v>
      </c>
      <c r="G36" s="6" t="s">
        <v>249</v>
      </c>
      <c r="H36" s="240"/>
    </row>
    <row r="37" spans="1:11" ht="15.75" customHeight="1" x14ac:dyDescent="0.2">
      <c r="A37" s="8">
        <v>4</v>
      </c>
      <c r="B37" s="1" t="s">
        <v>409</v>
      </c>
      <c r="C37" s="10" t="s">
        <v>49</v>
      </c>
      <c r="D37" s="1" t="s">
        <v>51</v>
      </c>
      <c r="E37" s="10" t="s">
        <v>853</v>
      </c>
      <c r="F37" s="2">
        <v>61606</v>
      </c>
      <c r="G37" s="6" t="s">
        <v>250</v>
      </c>
      <c r="H37" s="240"/>
    </row>
    <row r="38" spans="1:11" ht="15.75" customHeight="1" x14ac:dyDescent="0.2">
      <c r="A38" s="8">
        <v>4</v>
      </c>
      <c r="B38" s="1" t="s">
        <v>409</v>
      </c>
      <c r="C38" s="10" t="s">
        <v>49</v>
      </c>
      <c r="D38" s="1" t="s">
        <v>51</v>
      </c>
      <c r="E38" s="10" t="s">
        <v>853</v>
      </c>
      <c r="F38" s="2">
        <v>61607</v>
      </c>
      <c r="G38" s="6" t="s">
        <v>191</v>
      </c>
      <c r="H38" s="240"/>
    </row>
    <row r="39" spans="1:11" ht="15.75" customHeight="1" x14ac:dyDescent="0.2">
      <c r="A39" s="8">
        <v>4</v>
      </c>
      <c r="B39" s="1" t="s">
        <v>409</v>
      </c>
      <c r="C39" s="10" t="s">
        <v>49</v>
      </c>
      <c r="D39" s="1" t="s">
        <v>51</v>
      </c>
      <c r="E39" s="10" t="s">
        <v>853</v>
      </c>
      <c r="F39" s="2">
        <v>61608</v>
      </c>
      <c r="G39" s="6" t="s">
        <v>192</v>
      </c>
      <c r="H39" s="240">
        <v>0</v>
      </c>
    </row>
    <row r="40" spans="1:11" ht="15.75" customHeight="1" x14ac:dyDescent="0.2">
      <c r="A40" s="8">
        <v>4</v>
      </c>
      <c r="B40" s="1" t="s">
        <v>409</v>
      </c>
      <c r="C40" s="10" t="s">
        <v>49</v>
      </c>
      <c r="D40" s="1" t="s">
        <v>51</v>
      </c>
      <c r="E40" s="10" t="s">
        <v>853</v>
      </c>
      <c r="F40" s="2">
        <v>61609</v>
      </c>
      <c r="G40" s="6" t="s">
        <v>567</v>
      </c>
      <c r="H40" s="240">
        <v>0</v>
      </c>
    </row>
    <row r="41" spans="1:11" ht="15.75" customHeight="1" x14ac:dyDescent="0.2">
      <c r="A41" s="8">
        <v>4</v>
      </c>
      <c r="B41" s="1" t="s">
        <v>409</v>
      </c>
      <c r="C41" s="10" t="s">
        <v>49</v>
      </c>
      <c r="D41" s="1" t="s">
        <v>51</v>
      </c>
      <c r="E41" s="10" t="s">
        <v>853</v>
      </c>
      <c r="F41" s="2">
        <v>61699</v>
      </c>
      <c r="G41" s="6" t="s">
        <v>193</v>
      </c>
      <c r="H41" s="240">
        <v>0</v>
      </c>
    </row>
    <row r="42" spans="1:11" ht="15.75" customHeight="1" x14ac:dyDescent="0.2">
      <c r="A42" s="18"/>
      <c r="B42" s="16"/>
      <c r="C42" s="1"/>
      <c r="D42" s="16"/>
      <c r="E42" s="10" t="s">
        <v>853</v>
      </c>
      <c r="F42" s="228">
        <v>61201</v>
      </c>
      <c r="G42" s="7" t="s">
        <v>363</v>
      </c>
      <c r="H42" s="242">
        <v>0</v>
      </c>
    </row>
    <row r="43" spans="1:11" ht="15.75" customHeight="1" thickBot="1" x14ac:dyDescent="0.25">
      <c r="A43" s="18"/>
      <c r="B43" s="16"/>
      <c r="C43" s="227"/>
      <c r="D43" s="16"/>
      <c r="E43" s="227"/>
      <c r="F43" s="228">
        <v>72101</v>
      </c>
      <c r="G43" s="7" t="s">
        <v>610</v>
      </c>
      <c r="H43" s="242">
        <v>0</v>
      </c>
    </row>
    <row r="44" spans="1:11" ht="27.75" customHeight="1" thickBot="1" x14ac:dyDescent="0.35">
      <c r="A44" s="643"/>
      <c r="B44" s="644"/>
      <c r="C44" s="644"/>
      <c r="D44" s="644"/>
      <c r="E44" s="644"/>
      <c r="F44" s="645"/>
      <c r="G44" s="449" t="s">
        <v>194</v>
      </c>
      <c r="H44" s="337">
        <f>SUM(H11:H43)</f>
        <v>677495.46</v>
      </c>
      <c r="J44" s="198"/>
      <c r="K44" s="86"/>
    </row>
    <row r="45" spans="1:11" x14ac:dyDescent="0.2">
      <c r="A45" s="23"/>
      <c r="B45" s="23"/>
      <c r="C45" s="23"/>
      <c r="D45" s="23"/>
      <c r="E45" s="23"/>
      <c r="F45" s="23"/>
      <c r="H45" s="38"/>
      <c r="K45" s="195"/>
    </row>
    <row r="46" spans="1:11" ht="15.75" x14ac:dyDescent="0.25">
      <c r="A46" s="34"/>
      <c r="B46" s="34"/>
      <c r="C46" s="34"/>
      <c r="D46" s="34"/>
      <c r="E46" s="34"/>
      <c r="F46" s="34"/>
      <c r="G46" s="39"/>
      <c r="H46" s="208"/>
      <c r="K46" s="195"/>
    </row>
    <row r="47" spans="1:11" ht="19.5" customHeight="1" x14ac:dyDescent="0.2">
      <c r="A47" s="651" t="s">
        <v>12</v>
      </c>
      <c r="B47" s="651"/>
      <c r="C47" s="651"/>
      <c r="D47" s="651"/>
      <c r="E47" s="651"/>
      <c r="F47" s="651"/>
      <c r="H47" s="209">
        <f>+H44-H46</f>
        <v>677495.46</v>
      </c>
      <c r="K47" s="229"/>
    </row>
    <row r="48" spans="1:11" x14ac:dyDescent="0.2">
      <c r="A48" s="646" t="s">
        <v>2</v>
      </c>
      <c r="B48" s="646"/>
      <c r="C48" s="646"/>
      <c r="D48" s="646"/>
      <c r="E48" s="646"/>
      <c r="F48" s="646"/>
      <c r="G48" s="646"/>
    </row>
    <row r="49" spans="1:8" x14ac:dyDescent="0.2">
      <c r="A49" s="646" t="s">
        <v>854</v>
      </c>
      <c r="B49" s="646"/>
      <c r="C49" s="646"/>
      <c r="D49" s="646"/>
      <c r="E49" s="646"/>
      <c r="F49" s="646"/>
      <c r="G49" s="646"/>
      <c r="H49" s="89"/>
    </row>
    <row r="50" spans="1:8" x14ac:dyDescent="0.2">
      <c r="A50" s="646" t="s">
        <v>9</v>
      </c>
      <c r="B50" s="646"/>
      <c r="C50" s="646"/>
      <c r="D50" s="646"/>
      <c r="E50" s="646"/>
      <c r="F50" s="646"/>
      <c r="G50" s="646"/>
    </row>
    <row r="51" spans="1:8" x14ac:dyDescent="0.2">
      <c r="A51" s="646"/>
      <c r="B51" s="646"/>
      <c r="C51" s="646"/>
      <c r="D51" s="646"/>
      <c r="E51" s="646"/>
      <c r="F51" s="646"/>
      <c r="G51" s="646"/>
    </row>
  </sheetData>
  <mergeCells count="18">
    <mergeCell ref="A5:H5"/>
    <mergeCell ref="A1:D1"/>
    <mergeCell ref="E1:H1"/>
    <mergeCell ref="A2:I2"/>
    <mergeCell ref="A3:H3"/>
    <mergeCell ref="A4:H4"/>
    <mergeCell ref="A51:G51"/>
    <mergeCell ref="A6:H6"/>
    <mergeCell ref="A7:H7"/>
    <mergeCell ref="A8:H8"/>
    <mergeCell ref="A9:F9"/>
    <mergeCell ref="G9:G10"/>
    <mergeCell ref="H9:H10"/>
    <mergeCell ref="A44:F44"/>
    <mergeCell ref="A47:F47"/>
    <mergeCell ref="A48:G48"/>
    <mergeCell ref="A49:G49"/>
    <mergeCell ref="A50:G5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9"/>
  <sheetViews>
    <sheetView view="pageBreakPreview" zoomScale="86" zoomScaleNormal="100" zoomScaleSheetLayoutView="86" workbookViewId="0">
      <selection activeCell="G13" sqref="G13"/>
    </sheetView>
  </sheetViews>
  <sheetFormatPr baseColWidth="10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0.28515625" style="24" customWidth="1"/>
    <col min="7" max="7" width="49.28515625" style="19" customWidth="1"/>
    <col min="8" max="8" width="21.28515625" style="4" customWidth="1"/>
    <col min="9" max="9" width="11.42578125" style="207"/>
    <col min="10" max="10" width="14.7109375" style="194" bestFit="1" customWidth="1"/>
    <col min="11" max="11" width="13.7109375" style="21" bestFit="1" customWidth="1"/>
    <col min="12" max="16384" width="11.42578125" style="21"/>
  </cols>
  <sheetData>
    <row r="1" spans="1:11" ht="20.25" x14ac:dyDescent="0.25">
      <c r="A1" s="560"/>
      <c r="B1" s="560"/>
      <c r="C1" s="560"/>
      <c r="D1" s="560"/>
      <c r="E1" s="560"/>
      <c r="F1" s="560"/>
      <c r="G1" s="560"/>
      <c r="H1" s="560"/>
      <c r="I1" s="206"/>
    </row>
    <row r="2" spans="1:11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620"/>
    </row>
    <row r="3" spans="1:11" ht="15.75" x14ac:dyDescent="0.25">
      <c r="A3" s="624" t="s">
        <v>216</v>
      </c>
      <c r="B3" s="557"/>
      <c r="C3" s="557"/>
      <c r="D3" s="557"/>
      <c r="E3" s="557"/>
      <c r="F3" s="557"/>
      <c r="G3" s="557"/>
      <c r="H3" s="557"/>
      <c r="K3" s="86"/>
    </row>
    <row r="4" spans="1:11" ht="15.75" x14ac:dyDescent="0.25">
      <c r="A4" s="624" t="s">
        <v>640</v>
      </c>
      <c r="B4" s="557"/>
      <c r="C4" s="557"/>
      <c r="D4" s="557"/>
      <c r="E4" s="557"/>
      <c r="F4" s="557"/>
      <c r="G4" s="557"/>
      <c r="H4" s="557"/>
      <c r="K4" s="86"/>
    </row>
    <row r="5" spans="1:11" ht="15" x14ac:dyDescent="0.2">
      <c r="A5" s="635" t="s">
        <v>11</v>
      </c>
      <c r="B5" s="636"/>
      <c r="C5" s="636"/>
      <c r="D5" s="636"/>
      <c r="E5" s="636"/>
      <c r="F5" s="636"/>
      <c r="G5" s="636"/>
      <c r="H5" s="636"/>
    </row>
    <row r="6" spans="1:11" ht="8.25" customHeight="1" x14ac:dyDescent="0.25">
      <c r="A6" s="637"/>
      <c r="B6" s="638"/>
      <c r="C6" s="638"/>
      <c r="D6" s="638"/>
      <c r="E6" s="638"/>
      <c r="F6" s="638"/>
      <c r="G6" s="638"/>
      <c r="H6" s="638"/>
    </row>
    <row r="7" spans="1:11" ht="15.75" x14ac:dyDescent="0.25">
      <c r="A7" s="647" t="s">
        <v>176</v>
      </c>
      <c r="B7" s="647"/>
      <c r="C7" s="647"/>
      <c r="D7" s="647"/>
      <c r="E7" s="647"/>
      <c r="F7" s="647"/>
      <c r="G7" s="647"/>
      <c r="H7" s="647"/>
      <c r="K7" s="86"/>
    </row>
    <row r="8" spans="1:11" ht="16.5" thickBot="1" x14ac:dyDescent="0.3">
      <c r="A8" s="648" t="s">
        <v>632</v>
      </c>
      <c r="B8" s="648"/>
      <c r="C8" s="648"/>
      <c r="D8" s="648"/>
      <c r="E8" s="648"/>
      <c r="F8" s="648"/>
      <c r="G8" s="648"/>
      <c r="H8" s="648"/>
      <c r="K8" s="86"/>
    </row>
    <row r="9" spans="1:11" ht="15.75" thickBot="1" x14ac:dyDescent="0.3">
      <c r="A9" s="649" t="s">
        <v>0</v>
      </c>
      <c r="B9" s="650"/>
      <c r="C9" s="650"/>
      <c r="D9" s="650"/>
      <c r="E9" s="650"/>
      <c r="F9" s="650"/>
      <c r="G9" s="631" t="s">
        <v>151</v>
      </c>
      <c r="H9" s="633" t="s">
        <v>152</v>
      </c>
      <c r="K9" s="86"/>
    </row>
    <row r="10" spans="1:11" s="22" customFormat="1" ht="200.25" customHeight="1" thickBot="1" x14ac:dyDescent="0.25">
      <c r="A10" s="330" t="s">
        <v>144</v>
      </c>
      <c r="B10" s="331" t="s">
        <v>145</v>
      </c>
      <c r="C10" s="331" t="s">
        <v>122</v>
      </c>
      <c r="D10" s="331" t="s">
        <v>146</v>
      </c>
      <c r="E10" s="332" t="s">
        <v>153</v>
      </c>
      <c r="F10" s="333" t="s">
        <v>99</v>
      </c>
      <c r="G10" s="632"/>
      <c r="H10" s="634"/>
      <c r="I10" s="87"/>
      <c r="J10" s="199"/>
    </row>
    <row r="11" spans="1:11" ht="30" customHeight="1" thickBot="1" x14ac:dyDescent="0.25">
      <c r="A11" s="69">
        <v>3</v>
      </c>
      <c r="B11" s="68" t="s">
        <v>53</v>
      </c>
      <c r="C11" s="280" t="s">
        <v>219</v>
      </c>
      <c r="D11" s="68" t="s">
        <v>49</v>
      </c>
      <c r="E11" s="280"/>
      <c r="F11" s="228">
        <v>72101</v>
      </c>
      <c r="G11" s="67" t="s">
        <v>610</v>
      </c>
      <c r="H11" s="281">
        <v>1253.02</v>
      </c>
    </row>
    <row r="12" spans="1:11" ht="27.75" customHeight="1" thickBot="1" x14ac:dyDescent="0.35">
      <c r="A12" s="643"/>
      <c r="B12" s="644"/>
      <c r="C12" s="644"/>
      <c r="D12" s="644"/>
      <c r="E12" s="644"/>
      <c r="F12" s="645"/>
      <c r="G12" s="338" t="s">
        <v>194</v>
      </c>
      <c r="H12" s="339">
        <f>SUM(H11:H11)</f>
        <v>1253.02</v>
      </c>
      <c r="J12" s="198"/>
      <c r="K12" s="86"/>
    </row>
    <row r="13" spans="1:11" x14ac:dyDescent="0.2">
      <c r="A13" s="23"/>
      <c r="B13" s="23"/>
      <c r="C13" s="23"/>
      <c r="D13" s="23"/>
      <c r="E13" s="23"/>
      <c r="F13" s="23"/>
      <c r="H13" s="38"/>
      <c r="K13" s="195"/>
    </row>
    <row r="14" spans="1:11" ht="15.75" x14ac:dyDescent="0.25">
      <c r="A14" s="34"/>
      <c r="B14" s="34"/>
      <c r="C14" s="34"/>
      <c r="D14" s="34"/>
      <c r="E14" s="34"/>
      <c r="F14" s="34"/>
      <c r="G14" s="39"/>
      <c r="H14" s="208"/>
      <c r="K14" s="195"/>
    </row>
    <row r="15" spans="1:11" ht="19.5" customHeight="1" x14ac:dyDescent="0.2">
      <c r="A15" s="651" t="s">
        <v>12</v>
      </c>
      <c r="B15" s="651"/>
      <c r="C15" s="651"/>
      <c r="D15" s="651"/>
      <c r="E15" s="651"/>
      <c r="F15" s="651"/>
      <c r="H15" s="209"/>
      <c r="K15" s="229"/>
    </row>
    <row r="16" spans="1:11" x14ac:dyDescent="0.2">
      <c r="A16" s="646" t="s">
        <v>2</v>
      </c>
      <c r="B16" s="646"/>
      <c r="C16" s="646"/>
      <c r="D16" s="646"/>
      <c r="E16" s="646"/>
      <c r="F16" s="646"/>
      <c r="G16" s="646"/>
    </row>
    <row r="17" spans="1:8" x14ac:dyDescent="0.2">
      <c r="A17" s="646" t="s">
        <v>8</v>
      </c>
      <c r="B17" s="646"/>
      <c r="C17" s="646"/>
      <c r="D17" s="646"/>
      <c r="E17" s="646"/>
      <c r="F17" s="646"/>
      <c r="G17" s="646"/>
      <c r="H17" s="89"/>
    </row>
    <row r="18" spans="1:8" x14ac:dyDescent="0.2">
      <c r="A18" s="646" t="s">
        <v>9</v>
      </c>
      <c r="B18" s="646"/>
      <c r="C18" s="646"/>
      <c r="D18" s="646"/>
      <c r="E18" s="646"/>
      <c r="F18" s="646"/>
      <c r="G18" s="646"/>
    </row>
    <row r="19" spans="1:8" x14ac:dyDescent="0.2">
      <c r="A19" s="646"/>
      <c r="B19" s="646"/>
      <c r="C19" s="646"/>
      <c r="D19" s="646"/>
      <c r="E19" s="646"/>
      <c r="F19" s="646"/>
      <c r="G19" s="646"/>
    </row>
  </sheetData>
  <mergeCells count="18">
    <mergeCell ref="A19:G19"/>
    <mergeCell ref="A12:F12"/>
    <mergeCell ref="A15:F15"/>
    <mergeCell ref="A16:G16"/>
    <mergeCell ref="A17:G17"/>
    <mergeCell ref="A18:G18"/>
    <mergeCell ref="A5:H5"/>
    <mergeCell ref="A6:H6"/>
    <mergeCell ref="A7:H7"/>
    <mergeCell ref="A8:H8"/>
    <mergeCell ref="A9:F9"/>
    <mergeCell ref="G9:G10"/>
    <mergeCell ref="H9:H10"/>
    <mergeCell ref="A1:D1"/>
    <mergeCell ref="E1:H1"/>
    <mergeCell ref="A2:I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1"/>
  <sheetViews>
    <sheetView view="pageBreakPreview" topLeftCell="A13" zoomScale="86" zoomScaleNormal="100" zoomScaleSheetLayoutView="86" workbookViewId="0">
      <selection activeCell="H17" sqref="H17"/>
    </sheetView>
  </sheetViews>
  <sheetFormatPr baseColWidth="10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0.28515625" style="24" customWidth="1"/>
    <col min="7" max="7" width="49.28515625" style="19" customWidth="1"/>
    <col min="8" max="8" width="21.28515625" style="4" customWidth="1"/>
    <col min="9" max="9" width="11.42578125" style="207"/>
    <col min="10" max="10" width="14.7109375" style="194" bestFit="1" customWidth="1"/>
    <col min="11" max="11" width="13.7109375" style="21" bestFit="1" customWidth="1"/>
    <col min="12" max="16384" width="11.42578125" style="21"/>
  </cols>
  <sheetData>
    <row r="1" spans="1:11" ht="20.25" x14ac:dyDescent="0.25">
      <c r="A1" s="560"/>
      <c r="B1" s="560"/>
      <c r="C1" s="560"/>
      <c r="D1" s="560"/>
      <c r="E1" s="560"/>
      <c r="F1" s="560"/>
      <c r="G1" s="560"/>
      <c r="H1" s="560"/>
      <c r="I1" s="206"/>
    </row>
    <row r="2" spans="1:11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620"/>
    </row>
    <row r="3" spans="1:11" ht="15.75" x14ac:dyDescent="0.25">
      <c r="A3" s="624" t="s">
        <v>216</v>
      </c>
      <c r="B3" s="557"/>
      <c r="C3" s="557"/>
      <c r="D3" s="557"/>
      <c r="E3" s="557"/>
      <c r="F3" s="557"/>
      <c r="G3" s="557"/>
      <c r="H3" s="557"/>
      <c r="K3" s="86"/>
    </row>
    <row r="4" spans="1:11" ht="15.75" x14ac:dyDescent="0.25">
      <c r="A4" s="624" t="s">
        <v>640</v>
      </c>
      <c r="B4" s="557"/>
      <c r="C4" s="557"/>
      <c r="D4" s="557"/>
      <c r="E4" s="557"/>
      <c r="F4" s="557"/>
      <c r="G4" s="557"/>
      <c r="H4" s="557"/>
      <c r="K4" s="86"/>
    </row>
    <row r="5" spans="1:11" ht="15" x14ac:dyDescent="0.2">
      <c r="A5" s="635" t="s">
        <v>11</v>
      </c>
      <c r="B5" s="636"/>
      <c r="C5" s="636"/>
      <c r="D5" s="636"/>
      <c r="E5" s="636"/>
      <c r="F5" s="636"/>
      <c r="G5" s="636"/>
      <c r="H5" s="636"/>
    </row>
    <row r="6" spans="1:11" ht="8.25" customHeight="1" x14ac:dyDescent="0.25">
      <c r="A6" s="637"/>
      <c r="B6" s="638"/>
      <c r="C6" s="638"/>
      <c r="D6" s="638"/>
      <c r="E6" s="638"/>
      <c r="F6" s="638"/>
      <c r="G6" s="638"/>
      <c r="H6" s="638"/>
    </row>
    <row r="7" spans="1:11" ht="15.75" x14ac:dyDescent="0.25">
      <c r="A7" s="647" t="s">
        <v>176</v>
      </c>
      <c r="B7" s="647"/>
      <c r="C7" s="647"/>
      <c r="D7" s="647"/>
      <c r="E7" s="647"/>
      <c r="F7" s="647"/>
      <c r="G7" s="647"/>
      <c r="H7" s="647"/>
      <c r="K7" s="86"/>
    </row>
    <row r="8" spans="1:11" ht="16.5" thickBot="1" x14ac:dyDescent="0.3">
      <c r="A8" s="648" t="s">
        <v>635</v>
      </c>
      <c r="B8" s="648"/>
      <c r="C8" s="648"/>
      <c r="D8" s="648"/>
      <c r="E8" s="648"/>
      <c r="F8" s="648"/>
      <c r="G8" s="648"/>
      <c r="H8" s="648"/>
      <c r="K8" s="86"/>
    </row>
    <row r="9" spans="1:11" ht="15.75" thickBot="1" x14ac:dyDescent="0.3">
      <c r="A9" s="649" t="s">
        <v>0</v>
      </c>
      <c r="B9" s="650"/>
      <c r="C9" s="650"/>
      <c r="D9" s="650"/>
      <c r="E9" s="650"/>
      <c r="F9" s="650"/>
      <c r="G9" s="631" t="s">
        <v>151</v>
      </c>
      <c r="H9" s="633" t="s">
        <v>152</v>
      </c>
      <c r="K9" s="86"/>
    </row>
    <row r="10" spans="1:11" s="22" customFormat="1" ht="200.25" customHeight="1" thickBot="1" x14ac:dyDescent="0.25">
      <c r="A10" s="330" t="s">
        <v>144</v>
      </c>
      <c r="B10" s="331" t="s">
        <v>145</v>
      </c>
      <c r="C10" s="331" t="s">
        <v>122</v>
      </c>
      <c r="D10" s="331" t="s">
        <v>146</v>
      </c>
      <c r="E10" s="332" t="s">
        <v>153</v>
      </c>
      <c r="F10" s="333" t="s">
        <v>99</v>
      </c>
      <c r="G10" s="666"/>
      <c r="H10" s="634"/>
      <c r="I10" s="87"/>
      <c r="J10" s="199"/>
    </row>
    <row r="11" spans="1:11" ht="35.25" customHeight="1" x14ac:dyDescent="0.2">
      <c r="A11" s="69">
        <v>1</v>
      </c>
      <c r="B11" s="68" t="s">
        <v>49</v>
      </c>
      <c r="C11" s="280" t="s">
        <v>49</v>
      </c>
      <c r="D11" s="68" t="s">
        <v>409</v>
      </c>
      <c r="E11" s="280"/>
      <c r="F11" s="509">
        <v>54101</v>
      </c>
      <c r="G11" s="511" t="s">
        <v>633</v>
      </c>
      <c r="H11" s="510">
        <v>3000</v>
      </c>
    </row>
    <row r="12" spans="1:11" ht="35.25" customHeight="1" x14ac:dyDescent="0.2">
      <c r="A12" s="69">
        <v>1</v>
      </c>
      <c r="B12" s="68" t="s">
        <v>49</v>
      </c>
      <c r="C12" s="280" t="s">
        <v>49</v>
      </c>
      <c r="D12" s="68" t="s">
        <v>409</v>
      </c>
      <c r="E12" s="280"/>
      <c r="F12" s="509">
        <v>55603</v>
      </c>
      <c r="G12" s="511" t="s">
        <v>728</v>
      </c>
      <c r="H12" s="513">
        <v>10</v>
      </c>
    </row>
    <row r="13" spans="1:11" ht="35.25" customHeight="1" thickBot="1" x14ac:dyDescent="0.25">
      <c r="A13" s="69">
        <v>1</v>
      </c>
      <c r="B13" s="68" t="s">
        <v>49</v>
      </c>
      <c r="C13" s="280" t="s">
        <v>49</v>
      </c>
      <c r="D13" s="68" t="s">
        <v>409</v>
      </c>
      <c r="E13" s="280"/>
      <c r="F13" s="509">
        <v>56304</v>
      </c>
      <c r="G13" s="511" t="s">
        <v>633</v>
      </c>
      <c r="H13" s="513">
        <v>4357.3999999999996</v>
      </c>
    </row>
    <row r="14" spans="1:11" ht="27.75" customHeight="1" thickBot="1" x14ac:dyDescent="0.35">
      <c r="A14" s="643"/>
      <c r="B14" s="644"/>
      <c r="C14" s="644"/>
      <c r="D14" s="644"/>
      <c r="E14" s="644"/>
      <c r="F14" s="645"/>
      <c r="G14" s="512" t="s">
        <v>634</v>
      </c>
      <c r="H14" s="514">
        <f>SUM(H11:H13)</f>
        <v>7367.4</v>
      </c>
      <c r="J14" s="198"/>
      <c r="K14" s="86"/>
    </row>
    <row r="15" spans="1:11" x14ac:dyDescent="0.2">
      <c r="A15" s="23"/>
      <c r="B15" s="23"/>
      <c r="C15" s="23"/>
      <c r="D15" s="23"/>
      <c r="E15" s="23"/>
      <c r="F15" s="23"/>
      <c r="H15" s="38"/>
      <c r="K15" s="195"/>
    </row>
    <row r="16" spans="1:11" ht="15.75" x14ac:dyDescent="0.25">
      <c r="A16" s="34"/>
      <c r="B16" s="34"/>
      <c r="C16" s="34"/>
      <c r="D16" s="34"/>
      <c r="E16" s="34"/>
      <c r="F16" s="34"/>
      <c r="G16" s="39"/>
      <c r="H16" s="208"/>
      <c r="K16" s="195"/>
    </row>
    <row r="17" spans="1:11" ht="19.5" customHeight="1" x14ac:dyDescent="0.2">
      <c r="A17" s="651" t="s">
        <v>12</v>
      </c>
      <c r="B17" s="651"/>
      <c r="C17" s="651"/>
      <c r="D17" s="651"/>
      <c r="E17" s="651"/>
      <c r="F17" s="651"/>
      <c r="H17" s="209"/>
      <c r="K17" s="229"/>
    </row>
    <row r="18" spans="1:11" x14ac:dyDescent="0.2">
      <c r="A18" s="646" t="s">
        <v>2</v>
      </c>
      <c r="B18" s="646"/>
      <c r="C18" s="646"/>
      <c r="D18" s="646"/>
      <c r="E18" s="646"/>
      <c r="F18" s="646"/>
      <c r="G18" s="646"/>
    </row>
    <row r="19" spans="1:11" x14ac:dyDescent="0.2">
      <c r="A19" s="646" t="s">
        <v>8</v>
      </c>
      <c r="B19" s="646"/>
      <c r="C19" s="646"/>
      <c r="D19" s="646"/>
      <c r="E19" s="646"/>
      <c r="F19" s="646"/>
      <c r="G19" s="646"/>
      <c r="H19" s="89"/>
    </row>
    <row r="20" spans="1:11" x14ac:dyDescent="0.2">
      <c r="A20" s="646" t="s">
        <v>9</v>
      </c>
      <c r="B20" s="646"/>
      <c r="C20" s="646"/>
      <c r="D20" s="646"/>
      <c r="E20" s="646"/>
      <c r="F20" s="646"/>
      <c r="G20" s="646"/>
    </row>
    <row r="21" spans="1:11" x14ac:dyDescent="0.2">
      <c r="A21" s="646"/>
      <c r="B21" s="646"/>
      <c r="C21" s="646"/>
      <c r="D21" s="646"/>
      <c r="E21" s="646"/>
      <c r="F21" s="646"/>
      <c r="G21" s="646"/>
    </row>
  </sheetData>
  <mergeCells count="18">
    <mergeCell ref="A5:H5"/>
    <mergeCell ref="A1:D1"/>
    <mergeCell ref="E1:H1"/>
    <mergeCell ref="A2:I2"/>
    <mergeCell ref="A3:H3"/>
    <mergeCell ref="A4:H4"/>
    <mergeCell ref="A21:G21"/>
    <mergeCell ref="A6:H6"/>
    <mergeCell ref="A7:H7"/>
    <mergeCell ref="A8:H8"/>
    <mergeCell ref="A9:F9"/>
    <mergeCell ref="G9:G10"/>
    <mergeCell ref="H9:H10"/>
    <mergeCell ref="A14:F14"/>
    <mergeCell ref="A17:F17"/>
    <mergeCell ref="A18:G18"/>
    <mergeCell ref="A19:G19"/>
    <mergeCell ref="A20:G2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2"/>
  <sheetViews>
    <sheetView tabSelected="1" view="pageBreakPreview" topLeftCell="A13" zoomScale="80" zoomScaleNormal="75" zoomScaleSheetLayoutView="80" workbookViewId="0">
      <selection activeCell="G18" sqref="G18"/>
    </sheetView>
  </sheetViews>
  <sheetFormatPr baseColWidth="10" defaultRowHeight="12.75" x14ac:dyDescent="0.2"/>
  <cols>
    <col min="1" max="1" width="7" style="55" customWidth="1"/>
    <col min="2" max="2" width="28.7109375" style="55" customWidth="1"/>
    <col min="3" max="3" width="11.7109375" style="55" customWidth="1"/>
    <col min="4" max="4" width="34.5703125" style="55" customWidth="1"/>
    <col min="5" max="5" width="16.5703125" style="55" customWidth="1"/>
    <col min="6" max="7" width="12.140625" style="55" customWidth="1"/>
    <col min="8" max="9" width="15.140625" style="55" customWidth="1"/>
    <col min="10" max="10" width="15" style="55" customWidth="1"/>
    <col min="11" max="16384" width="11.42578125" style="55"/>
  </cols>
  <sheetData>
    <row r="1" spans="1:11" ht="22.5" customHeight="1" x14ac:dyDescent="0.2">
      <c r="A1" s="620" t="s">
        <v>372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</row>
    <row r="2" spans="1:11" ht="21" customHeight="1" x14ac:dyDescent="0.2">
      <c r="A2" s="680" t="s">
        <v>642</v>
      </c>
      <c r="B2" s="680"/>
      <c r="C2" s="680"/>
      <c r="D2" s="680"/>
      <c r="E2" s="680"/>
      <c r="F2" s="680"/>
      <c r="G2" s="680"/>
      <c r="H2" s="680"/>
      <c r="I2" s="680"/>
      <c r="J2" s="680"/>
    </row>
    <row r="3" spans="1:11" ht="12.75" customHeight="1" thickBot="1" x14ac:dyDescent="0.25">
      <c r="B3" s="608"/>
      <c r="C3" s="608"/>
      <c r="D3" s="608"/>
      <c r="E3" s="608"/>
      <c r="F3" s="608"/>
      <c r="G3" s="608"/>
      <c r="H3" s="608"/>
      <c r="I3" s="608"/>
      <c r="J3" s="608"/>
    </row>
    <row r="4" spans="1:11" s="56" customFormat="1" ht="51" customHeight="1" thickTop="1" thickBot="1" x14ac:dyDescent="0.25">
      <c r="A4" s="670" t="s">
        <v>251</v>
      </c>
      <c r="B4" s="668" t="s">
        <v>257</v>
      </c>
      <c r="C4" s="675" t="s">
        <v>256</v>
      </c>
      <c r="D4" s="675"/>
      <c r="E4" s="340" t="s">
        <v>280</v>
      </c>
      <c r="F4" s="673" t="s">
        <v>281</v>
      </c>
      <c r="G4" s="674"/>
      <c r="H4" s="674"/>
      <c r="I4" s="684" t="s">
        <v>253</v>
      </c>
      <c r="J4" s="676" t="s">
        <v>255</v>
      </c>
    </row>
    <row r="5" spans="1:11" s="56" customFormat="1" ht="26.25" customHeight="1" thickBot="1" x14ac:dyDescent="0.25">
      <c r="A5" s="671"/>
      <c r="B5" s="679"/>
      <c r="C5" s="675"/>
      <c r="D5" s="675"/>
      <c r="E5" s="668" t="s">
        <v>254</v>
      </c>
      <c r="F5" s="668" t="s">
        <v>404</v>
      </c>
      <c r="G5" s="668" t="s">
        <v>405</v>
      </c>
      <c r="H5" s="668" t="s">
        <v>406</v>
      </c>
      <c r="I5" s="679"/>
      <c r="J5" s="677"/>
    </row>
    <row r="6" spans="1:11" s="56" customFormat="1" ht="13.5" thickBot="1" x14ac:dyDescent="0.25">
      <c r="A6" s="672"/>
      <c r="B6" s="669"/>
      <c r="C6" s="675"/>
      <c r="D6" s="675"/>
      <c r="E6" s="669"/>
      <c r="F6" s="669"/>
      <c r="G6" s="669"/>
      <c r="H6" s="669"/>
      <c r="I6" s="669"/>
      <c r="J6" s="678"/>
    </row>
    <row r="7" spans="1:11" ht="30" customHeight="1" x14ac:dyDescent="0.2">
      <c r="A7" s="92">
        <v>1</v>
      </c>
      <c r="B7" s="60" t="s">
        <v>383</v>
      </c>
      <c r="C7" s="134" t="s">
        <v>88</v>
      </c>
      <c r="D7" s="522" t="s">
        <v>392</v>
      </c>
      <c r="E7" s="96">
        <v>880</v>
      </c>
      <c r="F7" s="58"/>
      <c r="G7" s="94"/>
      <c r="H7" s="94"/>
      <c r="I7" s="133">
        <f>SUM(E7:H7)</f>
        <v>880</v>
      </c>
      <c r="J7" s="96">
        <f>+I7*12</f>
        <v>10560</v>
      </c>
    </row>
    <row r="8" spans="1:11" ht="30" customHeight="1" x14ac:dyDescent="0.2">
      <c r="A8" s="92">
        <v>2</v>
      </c>
      <c r="B8" s="60" t="s">
        <v>382</v>
      </c>
      <c r="C8" s="134" t="s">
        <v>88</v>
      </c>
      <c r="D8" s="522" t="s">
        <v>393</v>
      </c>
      <c r="E8" s="96">
        <v>880</v>
      </c>
      <c r="F8" s="58"/>
      <c r="G8" s="94"/>
      <c r="H8" s="94"/>
      <c r="I8" s="133">
        <f>SUM(E8:H8)</f>
        <v>880</v>
      </c>
      <c r="J8" s="96">
        <f>+I8*12</f>
        <v>10560</v>
      </c>
    </row>
    <row r="9" spans="1:11" ht="30" customHeight="1" x14ac:dyDescent="0.2">
      <c r="A9" s="92">
        <v>3</v>
      </c>
      <c r="B9" s="60" t="s">
        <v>384</v>
      </c>
      <c r="C9" s="134" t="s">
        <v>88</v>
      </c>
      <c r="D9" s="522" t="s">
        <v>394</v>
      </c>
      <c r="E9" s="96">
        <v>880</v>
      </c>
      <c r="F9" s="58"/>
      <c r="G9" s="94"/>
      <c r="H9" s="94"/>
      <c r="I9" s="133">
        <f>SUM(E9:H9)</f>
        <v>880</v>
      </c>
      <c r="J9" s="96">
        <f>+I9*12</f>
        <v>10560</v>
      </c>
    </row>
    <row r="10" spans="1:11" ht="30" customHeight="1" x14ac:dyDescent="0.2">
      <c r="A10" s="92">
        <v>4</v>
      </c>
      <c r="B10" s="60" t="s">
        <v>385</v>
      </c>
      <c r="C10" s="134" t="s">
        <v>88</v>
      </c>
      <c r="D10" s="522" t="s">
        <v>395</v>
      </c>
      <c r="E10" s="96">
        <v>880</v>
      </c>
      <c r="F10" s="58"/>
      <c r="G10" s="94"/>
      <c r="H10" s="94"/>
      <c r="I10" s="133">
        <f>SUM(E10:H10)</f>
        <v>880</v>
      </c>
      <c r="J10" s="96">
        <f>+I10*12</f>
        <v>10560</v>
      </c>
    </row>
    <row r="11" spans="1:11" ht="30" customHeight="1" x14ac:dyDescent="0.2">
      <c r="A11" s="92">
        <v>5</v>
      </c>
      <c r="B11" s="60" t="s">
        <v>386</v>
      </c>
      <c r="C11" s="134" t="s">
        <v>88</v>
      </c>
      <c r="D11" s="522" t="s">
        <v>396</v>
      </c>
      <c r="E11" s="96">
        <v>880</v>
      </c>
      <c r="F11" s="58"/>
      <c r="G11" s="94"/>
      <c r="H11" s="94"/>
      <c r="I11" s="133">
        <f t="shared" ref="I11:I18" si="0">SUM(E11:H11)</f>
        <v>880</v>
      </c>
      <c r="J11" s="96">
        <f t="shared" ref="J11:J18" si="1">+I11*12</f>
        <v>10560</v>
      </c>
    </row>
    <row r="12" spans="1:11" ht="30" customHeight="1" x14ac:dyDescent="0.2">
      <c r="A12" s="92">
        <v>6</v>
      </c>
      <c r="B12" s="60" t="s">
        <v>387</v>
      </c>
      <c r="C12" s="134" t="s">
        <v>88</v>
      </c>
      <c r="D12" s="522" t="s">
        <v>397</v>
      </c>
      <c r="E12" s="96">
        <v>880</v>
      </c>
      <c r="F12" s="58"/>
      <c r="G12" s="94"/>
      <c r="H12" s="94"/>
      <c r="I12" s="133">
        <f t="shared" si="0"/>
        <v>880</v>
      </c>
      <c r="J12" s="96">
        <f t="shared" si="1"/>
        <v>10560</v>
      </c>
    </row>
    <row r="13" spans="1:11" ht="30" customHeight="1" x14ac:dyDescent="0.2">
      <c r="A13" s="92">
        <v>7</v>
      </c>
      <c r="B13" s="60" t="s">
        <v>388</v>
      </c>
      <c r="C13" s="134" t="s">
        <v>88</v>
      </c>
      <c r="D13" s="132" t="s">
        <v>398</v>
      </c>
      <c r="E13" s="96">
        <v>880</v>
      </c>
      <c r="F13" s="58"/>
      <c r="G13" s="94"/>
      <c r="H13" s="94"/>
      <c r="I13" s="133">
        <f t="shared" si="0"/>
        <v>880</v>
      </c>
      <c r="J13" s="96">
        <f t="shared" si="1"/>
        <v>10560</v>
      </c>
    </row>
    <row r="14" spans="1:11" ht="30" customHeight="1" x14ac:dyDescent="0.2">
      <c r="A14" s="92">
        <v>8</v>
      </c>
      <c r="B14" s="60" t="s">
        <v>389</v>
      </c>
      <c r="C14" s="134" t="s">
        <v>88</v>
      </c>
      <c r="D14" s="132" t="s">
        <v>399</v>
      </c>
      <c r="E14" s="96">
        <v>880</v>
      </c>
      <c r="F14" s="58"/>
      <c r="G14" s="94"/>
      <c r="H14" s="94"/>
      <c r="I14" s="133">
        <f t="shared" si="0"/>
        <v>880</v>
      </c>
      <c r="J14" s="96">
        <f t="shared" si="1"/>
        <v>10560</v>
      </c>
    </row>
    <row r="15" spans="1:11" ht="30" customHeight="1" x14ac:dyDescent="0.2">
      <c r="A15" s="92">
        <v>9</v>
      </c>
      <c r="B15" s="60" t="s">
        <v>390</v>
      </c>
      <c r="C15" s="134" t="s">
        <v>88</v>
      </c>
      <c r="D15" s="132" t="s">
        <v>400</v>
      </c>
      <c r="E15" s="96">
        <v>880</v>
      </c>
      <c r="F15" s="58"/>
      <c r="G15" s="94"/>
      <c r="H15" s="94"/>
      <c r="I15" s="133">
        <f t="shared" si="0"/>
        <v>880</v>
      </c>
      <c r="J15" s="96">
        <f t="shared" si="1"/>
        <v>10560</v>
      </c>
    </row>
    <row r="16" spans="1:11" ht="30" customHeight="1" x14ac:dyDescent="0.2">
      <c r="A16" s="92">
        <v>10</v>
      </c>
      <c r="B16" s="60" t="s">
        <v>258</v>
      </c>
      <c r="C16" s="134" t="s">
        <v>88</v>
      </c>
      <c r="D16" s="132" t="s">
        <v>401</v>
      </c>
      <c r="E16" s="96">
        <v>880</v>
      </c>
      <c r="F16" s="58"/>
      <c r="G16" s="94"/>
      <c r="H16" s="94"/>
      <c r="I16" s="133">
        <f t="shared" si="0"/>
        <v>880</v>
      </c>
      <c r="J16" s="96">
        <f t="shared" si="1"/>
        <v>10560</v>
      </c>
    </row>
    <row r="17" spans="1:10" ht="30" customHeight="1" x14ac:dyDescent="0.2">
      <c r="A17" s="92">
        <v>11</v>
      </c>
      <c r="B17" s="60" t="s">
        <v>259</v>
      </c>
      <c r="C17" s="134" t="s">
        <v>88</v>
      </c>
      <c r="D17" s="132" t="s">
        <v>402</v>
      </c>
      <c r="E17" s="96">
        <v>880</v>
      </c>
      <c r="F17" s="58"/>
      <c r="G17" s="94"/>
      <c r="H17" s="94"/>
      <c r="I17" s="133">
        <f t="shared" si="0"/>
        <v>880</v>
      </c>
      <c r="J17" s="96">
        <f t="shared" si="1"/>
        <v>10560</v>
      </c>
    </row>
    <row r="18" spans="1:10" ht="30" customHeight="1" thickBot="1" x14ac:dyDescent="0.25">
      <c r="A18" s="92">
        <v>12</v>
      </c>
      <c r="B18" s="60" t="s">
        <v>391</v>
      </c>
      <c r="C18" s="134" t="s">
        <v>88</v>
      </c>
      <c r="D18" s="132" t="s">
        <v>403</v>
      </c>
      <c r="E18" s="96">
        <v>880</v>
      </c>
      <c r="F18" s="58"/>
      <c r="G18" s="94"/>
      <c r="H18" s="94"/>
      <c r="I18" s="133">
        <f t="shared" si="0"/>
        <v>880</v>
      </c>
      <c r="J18" s="96">
        <f t="shared" si="1"/>
        <v>10560</v>
      </c>
    </row>
    <row r="19" spans="1:10" ht="27.75" customHeight="1" thickBot="1" x14ac:dyDescent="0.25">
      <c r="A19" s="681"/>
      <c r="B19" s="682"/>
      <c r="C19" s="682"/>
      <c r="D19" s="683"/>
      <c r="E19" s="341">
        <f t="shared" ref="E19:J19" si="2">SUM(E7:E18)</f>
        <v>10560</v>
      </c>
      <c r="F19" s="341">
        <f t="shared" si="2"/>
        <v>0</v>
      </c>
      <c r="G19" s="341">
        <f t="shared" si="2"/>
        <v>0</v>
      </c>
      <c r="H19" s="341">
        <f t="shared" si="2"/>
        <v>0</v>
      </c>
      <c r="I19" s="341">
        <f t="shared" si="2"/>
        <v>10560</v>
      </c>
      <c r="J19" s="341">
        <f t="shared" si="2"/>
        <v>126720</v>
      </c>
    </row>
    <row r="20" spans="1:10" ht="24.95" customHeight="1" x14ac:dyDescent="0.2"/>
    <row r="21" spans="1:10" ht="24.95" customHeight="1" x14ac:dyDescent="0.2">
      <c r="A21" s="59"/>
      <c r="B21" s="667"/>
      <c r="C21" s="667"/>
      <c r="D21" s="667"/>
      <c r="E21" s="40"/>
    </row>
    <row r="22" spans="1:10" ht="24.95" customHeight="1" x14ac:dyDescent="0.2"/>
  </sheetData>
  <mergeCells count="16">
    <mergeCell ref="A1:K1"/>
    <mergeCell ref="B21:D21"/>
    <mergeCell ref="B3:J3"/>
    <mergeCell ref="E5:E6"/>
    <mergeCell ref="A4:A6"/>
    <mergeCell ref="H5:H6"/>
    <mergeCell ref="F4:H4"/>
    <mergeCell ref="C4:C6"/>
    <mergeCell ref="J4:J6"/>
    <mergeCell ref="F5:F6"/>
    <mergeCell ref="B4:B6"/>
    <mergeCell ref="D4:D6"/>
    <mergeCell ref="A2:J2"/>
    <mergeCell ref="A19:D19"/>
    <mergeCell ref="G5:G6"/>
    <mergeCell ref="I4:I6"/>
  </mergeCells>
  <phoneticPr fontId="2" type="noConversion"/>
  <printOptions horizontalCentered="1"/>
  <pageMargins left="1.7" right="0.82" top="0.98425196850393704" bottom="0.98425196850393704" header="0" footer="0"/>
  <pageSetup paperSize="5" scale="88" fitToHeight="0" orientation="landscape" r:id="rId1"/>
  <headerFooter alignWithMargins="0"/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M126"/>
  <sheetViews>
    <sheetView topLeftCell="A40" workbookViewId="0">
      <selection activeCell="E44" sqref="E44"/>
    </sheetView>
  </sheetViews>
  <sheetFormatPr baseColWidth="10" defaultRowHeight="12.75" x14ac:dyDescent="0.2"/>
  <cols>
    <col min="1" max="1" width="7" style="55" customWidth="1"/>
    <col min="2" max="2" width="48.28515625" style="55" customWidth="1"/>
    <col min="3" max="3" width="41.85546875" style="55" customWidth="1"/>
    <col min="4" max="4" width="15.5703125" style="55" customWidth="1"/>
    <col min="5" max="5" width="11.42578125" style="55" customWidth="1"/>
    <col min="6" max="7" width="12.85546875" style="55" customWidth="1"/>
    <col min="8" max="8" width="13.7109375" style="55" customWidth="1"/>
    <col min="9" max="9" width="15.140625" style="55" customWidth="1"/>
    <col min="10" max="10" width="10.28515625" style="55" customWidth="1"/>
    <col min="11" max="12" width="15.140625" style="55" customWidth="1"/>
    <col min="13" max="13" width="15" style="55" customWidth="1"/>
    <col min="14" max="16384" width="11.42578125" style="55"/>
  </cols>
  <sheetData>
    <row r="1" spans="1:13" ht="22.5" customHeight="1" x14ac:dyDescent="0.2">
      <c r="A1" s="680" t="s">
        <v>569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</row>
    <row r="2" spans="1:13" ht="21" customHeight="1" x14ac:dyDescent="0.2">
      <c r="A2" s="680" t="s">
        <v>375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</row>
    <row r="3" spans="1:13" ht="12.75" customHeight="1" thickBot="1" x14ac:dyDescent="0.25"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</row>
    <row r="4" spans="1:13" s="56" customFormat="1" ht="51" customHeight="1" thickBot="1" x14ac:dyDescent="0.25">
      <c r="A4" s="695"/>
      <c r="B4" s="692"/>
      <c r="C4" s="135"/>
      <c r="D4" s="698"/>
      <c r="E4" s="699"/>
      <c r="F4" s="700"/>
      <c r="G4" s="700"/>
      <c r="H4" s="701"/>
      <c r="I4" s="689"/>
      <c r="J4" s="690"/>
      <c r="K4" s="690"/>
      <c r="L4" s="691"/>
      <c r="M4" s="692"/>
    </row>
    <row r="5" spans="1:13" s="56" customFormat="1" ht="26.25" customHeight="1" thickBot="1" x14ac:dyDescent="0.25">
      <c r="A5" s="696"/>
      <c r="B5" s="693"/>
      <c r="C5" s="137"/>
      <c r="D5" s="698"/>
      <c r="E5" s="692"/>
      <c r="F5" s="692"/>
      <c r="G5" s="135"/>
      <c r="H5" s="119"/>
      <c r="I5" s="692"/>
      <c r="J5" s="146"/>
      <c r="K5" s="692"/>
      <c r="L5" s="117"/>
      <c r="M5" s="693"/>
    </row>
    <row r="6" spans="1:13" s="56" customFormat="1" ht="13.5" thickBot="1" x14ac:dyDescent="0.25">
      <c r="A6" s="697"/>
      <c r="B6" s="694"/>
      <c r="C6" s="136"/>
      <c r="D6" s="698"/>
      <c r="E6" s="694"/>
      <c r="F6" s="694"/>
      <c r="G6" s="136"/>
      <c r="H6" s="120"/>
      <c r="I6" s="694"/>
      <c r="J6" s="147"/>
      <c r="K6" s="694"/>
      <c r="L6" s="116"/>
      <c r="M6" s="694"/>
    </row>
    <row r="7" spans="1:13" ht="15" customHeight="1" x14ac:dyDescent="0.2">
      <c r="A7" s="92"/>
      <c r="B7" s="61"/>
      <c r="C7" s="139"/>
      <c r="D7" s="57"/>
      <c r="E7" s="96"/>
      <c r="F7" s="96"/>
      <c r="G7" s="96"/>
      <c r="H7" s="96"/>
      <c r="I7" s="58"/>
      <c r="J7" s="94"/>
      <c r="K7" s="94"/>
      <c r="L7" s="94"/>
      <c r="M7" s="93"/>
    </row>
    <row r="8" spans="1:13" ht="15" customHeight="1" x14ac:dyDescent="0.2">
      <c r="A8" s="92"/>
      <c r="B8" s="60"/>
      <c r="C8" s="140"/>
      <c r="D8" s="57"/>
      <c r="E8" s="96"/>
      <c r="F8" s="96"/>
      <c r="G8" s="96"/>
      <c r="H8" s="96"/>
      <c r="I8" s="58"/>
      <c r="J8" s="94"/>
      <c r="K8" s="94"/>
      <c r="L8" s="94"/>
      <c r="M8" s="93"/>
    </row>
    <row r="9" spans="1:13" ht="15" customHeight="1" x14ac:dyDescent="0.2">
      <c r="A9" s="92"/>
      <c r="B9" s="60"/>
      <c r="C9" s="140"/>
      <c r="D9" s="57"/>
      <c r="E9" s="96"/>
      <c r="F9" s="96"/>
      <c r="G9" s="96"/>
      <c r="H9" s="96"/>
      <c r="I9" s="58"/>
      <c r="J9" s="94"/>
      <c r="K9" s="94"/>
      <c r="L9" s="94"/>
      <c r="M9" s="93"/>
    </row>
    <row r="10" spans="1:13" ht="15" customHeight="1" x14ac:dyDescent="0.2">
      <c r="A10" s="92"/>
      <c r="B10" s="60"/>
      <c r="C10" s="140"/>
      <c r="D10" s="57"/>
      <c r="E10" s="96"/>
      <c r="F10" s="96"/>
      <c r="G10" s="96"/>
      <c r="H10" s="96"/>
      <c r="I10" s="58"/>
      <c r="J10" s="94"/>
      <c r="K10" s="94"/>
      <c r="L10" s="94"/>
      <c r="M10" s="93"/>
    </row>
    <row r="11" spans="1:13" ht="15" customHeight="1" x14ac:dyDescent="0.2">
      <c r="A11" s="92"/>
      <c r="B11" s="60"/>
      <c r="C11" s="140"/>
      <c r="D11" s="57"/>
      <c r="E11" s="96"/>
      <c r="F11" s="96"/>
      <c r="G11" s="96"/>
      <c r="H11" s="96"/>
      <c r="I11" s="58"/>
      <c r="J11" s="94"/>
      <c r="K11" s="94"/>
      <c r="L11" s="94"/>
      <c r="M11" s="93"/>
    </row>
    <row r="12" spans="1:13" ht="15" customHeight="1" x14ac:dyDescent="0.2">
      <c r="A12" s="92"/>
      <c r="B12" s="60"/>
      <c r="C12" s="140"/>
      <c r="D12" s="57"/>
      <c r="E12" s="96"/>
      <c r="F12" s="96"/>
      <c r="G12" s="96"/>
      <c r="H12" s="96"/>
      <c r="I12" s="58"/>
      <c r="J12" s="94"/>
      <c r="K12" s="94"/>
      <c r="L12" s="94"/>
      <c r="M12" s="93"/>
    </row>
    <row r="13" spans="1:13" ht="15" customHeight="1" x14ac:dyDescent="0.2">
      <c r="A13" s="92"/>
      <c r="B13" s="60"/>
      <c r="C13" s="140"/>
      <c r="D13" s="57"/>
      <c r="E13" s="96"/>
      <c r="F13" s="96"/>
      <c r="G13" s="96"/>
      <c r="H13" s="96"/>
      <c r="I13" s="58"/>
      <c r="J13" s="94"/>
      <c r="K13" s="94"/>
      <c r="L13" s="94"/>
      <c r="M13" s="93"/>
    </row>
    <row r="14" spans="1:13" ht="15" customHeight="1" x14ac:dyDescent="0.2">
      <c r="A14" s="92"/>
      <c r="B14" s="60"/>
      <c r="C14" s="140"/>
      <c r="D14" s="57"/>
      <c r="E14" s="96"/>
      <c r="F14" s="96"/>
      <c r="G14" s="96"/>
      <c r="H14" s="96"/>
      <c r="I14" s="58"/>
      <c r="J14" s="94"/>
      <c r="K14" s="94"/>
      <c r="L14" s="94"/>
      <c r="M14" s="93"/>
    </row>
    <row r="15" spans="1:13" ht="15" customHeight="1" x14ac:dyDescent="0.2">
      <c r="A15" s="92"/>
      <c r="B15" s="60"/>
      <c r="C15" s="140"/>
      <c r="D15" s="57"/>
      <c r="E15" s="96"/>
      <c r="F15" s="96"/>
      <c r="G15" s="96"/>
      <c r="H15" s="96"/>
      <c r="I15" s="58"/>
      <c r="J15" s="94"/>
      <c r="K15" s="94"/>
      <c r="L15" s="94"/>
      <c r="M15" s="93"/>
    </row>
    <row r="16" spans="1:13" ht="15" customHeight="1" x14ac:dyDescent="0.2">
      <c r="A16" s="92"/>
      <c r="B16" s="60"/>
      <c r="C16" s="140"/>
      <c r="D16" s="57"/>
      <c r="E16" s="96"/>
      <c r="F16" s="96"/>
      <c r="G16" s="96"/>
      <c r="H16" s="96"/>
      <c r="I16" s="58"/>
      <c r="J16" s="94"/>
      <c r="K16" s="94"/>
      <c r="L16" s="94"/>
      <c r="M16" s="93"/>
    </row>
    <row r="17" spans="1:13" ht="15" customHeight="1" x14ac:dyDescent="0.2">
      <c r="A17" s="92"/>
      <c r="B17" s="95"/>
      <c r="C17" s="131"/>
      <c r="D17" s="57"/>
      <c r="E17" s="96"/>
      <c r="F17" s="96"/>
      <c r="G17" s="96"/>
      <c r="H17" s="96"/>
      <c r="I17" s="58"/>
      <c r="J17" s="94"/>
      <c r="K17" s="94"/>
      <c r="L17" s="94"/>
      <c r="M17" s="93"/>
    </row>
    <row r="18" spans="1:13" ht="15" customHeight="1" x14ac:dyDescent="0.2">
      <c r="A18" s="92"/>
      <c r="B18" s="60"/>
      <c r="C18" s="140"/>
      <c r="D18" s="57"/>
      <c r="E18" s="96"/>
      <c r="F18" s="96"/>
      <c r="G18" s="96"/>
      <c r="H18" s="96"/>
      <c r="I18" s="58"/>
      <c r="J18" s="94"/>
      <c r="K18" s="94"/>
      <c r="L18" s="94"/>
      <c r="M18" s="93"/>
    </row>
    <row r="19" spans="1:13" ht="15" customHeight="1" x14ac:dyDescent="0.2">
      <c r="A19" s="92"/>
      <c r="B19" s="95"/>
      <c r="C19" s="131"/>
      <c r="D19" s="57"/>
      <c r="E19" s="96"/>
      <c r="F19" s="96"/>
      <c r="G19" s="96"/>
      <c r="H19" s="96"/>
      <c r="I19" s="58"/>
      <c r="J19" s="94"/>
      <c r="K19" s="94"/>
      <c r="L19" s="94"/>
      <c r="M19" s="93"/>
    </row>
    <row r="20" spans="1:13" ht="15" customHeight="1" x14ac:dyDescent="0.2">
      <c r="A20" s="92"/>
      <c r="B20" s="95"/>
      <c r="C20" s="131"/>
      <c r="D20" s="57"/>
      <c r="E20" s="96"/>
      <c r="F20" s="96"/>
      <c r="G20" s="96"/>
      <c r="H20" s="96"/>
      <c r="I20" s="58"/>
      <c r="J20" s="94"/>
      <c r="K20" s="94"/>
      <c r="L20" s="94"/>
      <c r="M20" s="93"/>
    </row>
    <row r="21" spans="1:13" ht="15" customHeight="1" x14ac:dyDescent="0.2">
      <c r="A21" s="92"/>
      <c r="B21" s="95"/>
      <c r="C21" s="131"/>
      <c r="D21" s="57"/>
      <c r="E21" s="96"/>
      <c r="F21" s="96"/>
      <c r="G21" s="96"/>
      <c r="H21" s="96"/>
      <c r="I21" s="58"/>
      <c r="J21" s="94"/>
      <c r="K21" s="94"/>
      <c r="L21" s="94"/>
      <c r="M21" s="93"/>
    </row>
    <row r="22" spans="1:13" ht="15" customHeight="1" x14ac:dyDescent="0.2">
      <c r="A22" s="92"/>
      <c r="B22" s="95"/>
      <c r="C22" s="131"/>
      <c r="D22" s="57"/>
      <c r="E22" s="96"/>
      <c r="F22" s="96"/>
      <c r="G22" s="96"/>
      <c r="H22" s="96"/>
      <c r="I22" s="58"/>
      <c r="J22" s="94"/>
      <c r="K22" s="94"/>
      <c r="L22" s="94"/>
      <c r="M22" s="93"/>
    </row>
    <row r="23" spans="1:13" ht="15" customHeight="1" x14ac:dyDescent="0.2">
      <c r="A23" s="92"/>
      <c r="B23" s="95"/>
      <c r="C23" s="131"/>
      <c r="D23" s="57"/>
      <c r="E23" s="96"/>
      <c r="F23" s="96"/>
      <c r="G23" s="96"/>
      <c r="H23" s="96"/>
      <c r="I23" s="58"/>
      <c r="J23" s="94"/>
      <c r="K23" s="94"/>
      <c r="L23" s="94"/>
      <c r="M23" s="93"/>
    </row>
    <row r="24" spans="1:13" ht="15" customHeight="1" thickBot="1" x14ac:dyDescent="0.25">
      <c r="A24" s="92"/>
      <c r="B24" s="95"/>
      <c r="C24" s="131"/>
      <c r="D24" s="57"/>
      <c r="E24" s="96"/>
      <c r="F24" s="96"/>
      <c r="G24" s="96"/>
      <c r="H24" s="96"/>
      <c r="I24" s="58"/>
      <c r="J24" s="94"/>
      <c r="K24" s="94"/>
      <c r="L24" s="94"/>
      <c r="M24" s="93"/>
    </row>
    <row r="25" spans="1:13" ht="15" customHeight="1" thickBot="1" x14ac:dyDescent="0.25">
      <c r="A25" s="685"/>
      <c r="B25" s="686"/>
      <c r="C25" s="686"/>
      <c r="D25" s="688"/>
      <c r="E25" s="97"/>
      <c r="F25" s="97"/>
      <c r="G25" s="97"/>
      <c r="H25" s="97"/>
      <c r="I25" s="97"/>
      <c r="J25" s="97"/>
      <c r="K25" s="97"/>
      <c r="L25" s="97"/>
      <c r="M25" s="97"/>
    </row>
    <row r="26" spans="1:13" ht="15" customHeight="1" x14ac:dyDescent="0.2">
      <c r="A26" s="124"/>
      <c r="B26" s="124"/>
      <c r="C26" s="138"/>
      <c r="D26" s="124"/>
      <c r="E26" s="125"/>
      <c r="F26" s="125"/>
      <c r="G26" s="125"/>
      <c r="H26" s="125"/>
      <c r="I26" s="125"/>
      <c r="J26" s="125"/>
      <c r="K26" s="125"/>
      <c r="L26" s="125"/>
      <c r="M26" s="125"/>
    </row>
    <row r="27" spans="1:13" ht="15" customHeight="1" x14ac:dyDescent="0.2">
      <c r="A27" s="124"/>
      <c r="B27" s="124"/>
      <c r="C27" s="138"/>
      <c r="D27" s="124"/>
      <c r="E27" s="125"/>
      <c r="F27" s="125"/>
      <c r="G27" s="125"/>
      <c r="H27" s="125"/>
      <c r="I27" s="125"/>
      <c r="J27" s="125"/>
      <c r="K27" s="125"/>
      <c r="L27" s="125"/>
      <c r="M27" s="125"/>
    </row>
    <row r="28" spans="1:13" ht="15" customHeight="1" x14ac:dyDescent="0.2">
      <c r="A28" s="124"/>
      <c r="B28" s="124"/>
      <c r="C28" s="138"/>
      <c r="D28" s="124"/>
      <c r="E28" s="125"/>
      <c r="F28" s="125"/>
      <c r="G28" s="125"/>
      <c r="H28" s="125"/>
      <c r="I28" s="125"/>
      <c r="J28" s="125"/>
      <c r="K28" s="125"/>
      <c r="L28" s="125"/>
      <c r="M28" s="125"/>
    </row>
    <row r="29" spans="1:13" ht="15" customHeight="1" x14ac:dyDescent="0.2">
      <c r="A29" s="124"/>
      <c r="B29" s="124"/>
      <c r="C29" s="138"/>
      <c r="D29" s="124"/>
      <c r="E29" s="125"/>
      <c r="F29" s="125"/>
      <c r="G29" s="125"/>
      <c r="H29" s="125"/>
      <c r="I29" s="125"/>
      <c r="J29" s="125"/>
      <c r="K29" s="125"/>
      <c r="L29" s="125"/>
      <c r="M29" s="125"/>
    </row>
    <row r="30" spans="1:13" ht="15" customHeight="1" x14ac:dyDescent="0.2">
      <c r="A30" s="124"/>
      <c r="B30" s="124"/>
      <c r="C30" s="138"/>
      <c r="D30" s="124"/>
      <c r="E30" s="125"/>
      <c r="F30" s="125"/>
      <c r="G30" s="125"/>
      <c r="H30" s="125"/>
      <c r="I30" s="125"/>
      <c r="J30" s="125"/>
      <c r="K30" s="125"/>
      <c r="L30" s="125"/>
      <c r="M30" s="125"/>
    </row>
    <row r="31" spans="1:13" ht="15" customHeight="1" x14ac:dyDescent="0.2">
      <c r="A31" s="124"/>
      <c r="B31" s="124"/>
      <c r="C31" s="138"/>
      <c r="D31" s="124"/>
      <c r="E31" s="125"/>
      <c r="F31" s="125"/>
      <c r="G31" s="125"/>
      <c r="H31" s="125"/>
      <c r="I31" s="125"/>
      <c r="J31" s="125"/>
      <c r="K31" s="125"/>
      <c r="L31" s="125"/>
      <c r="M31" s="125"/>
    </row>
    <row r="32" spans="1:13" ht="15" customHeight="1" x14ac:dyDescent="0.2">
      <c r="A32" s="124"/>
      <c r="B32" s="124"/>
      <c r="C32" s="138"/>
      <c r="D32" s="124"/>
      <c r="E32" s="125"/>
      <c r="F32" s="125"/>
      <c r="G32" s="125"/>
      <c r="H32" s="125"/>
      <c r="I32" s="125"/>
      <c r="J32" s="125"/>
      <c r="K32" s="125"/>
      <c r="L32" s="125"/>
      <c r="M32" s="125"/>
    </row>
    <row r="33" spans="1:13" ht="15" customHeight="1" x14ac:dyDescent="0.2">
      <c r="A33" s="124"/>
      <c r="B33" s="124"/>
      <c r="C33" s="138"/>
      <c r="D33" s="124"/>
      <c r="E33" s="125"/>
      <c r="F33" s="125"/>
      <c r="G33" s="125"/>
      <c r="H33" s="125"/>
      <c r="I33" s="125"/>
      <c r="J33" s="125"/>
      <c r="K33" s="125"/>
      <c r="L33" s="125"/>
      <c r="M33" s="125"/>
    </row>
    <row r="34" spans="1:13" ht="15" customHeight="1" x14ac:dyDescent="0.2">
      <c r="A34" s="124"/>
      <c r="B34" s="124"/>
      <c r="C34" s="138"/>
      <c r="D34" s="124"/>
      <c r="E34" s="125"/>
      <c r="F34" s="125"/>
      <c r="G34" s="125"/>
      <c r="H34" s="125"/>
      <c r="I34" s="125"/>
      <c r="J34" s="125"/>
      <c r="K34" s="125"/>
      <c r="L34" s="125"/>
      <c r="M34" s="125"/>
    </row>
    <row r="35" spans="1:13" ht="15" customHeight="1" x14ac:dyDescent="0.2">
      <c r="A35" s="124"/>
      <c r="B35" s="124"/>
      <c r="C35" s="138"/>
      <c r="D35" s="124"/>
      <c r="E35" s="125"/>
      <c r="F35" s="125"/>
      <c r="G35" s="125"/>
      <c r="H35" s="125"/>
      <c r="I35" s="125"/>
      <c r="J35" s="125"/>
      <c r="K35" s="125"/>
      <c r="L35" s="125"/>
      <c r="M35" s="125"/>
    </row>
    <row r="36" spans="1:13" ht="15" customHeight="1" x14ac:dyDescent="0.2">
      <c r="A36" s="124"/>
      <c r="B36" s="124"/>
      <c r="C36" s="138"/>
      <c r="D36" s="124"/>
      <c r="E36" s="125"/>
      <c r="F36" s="125"/>
      <c r="G36" s="125"/>
      <c r="H36" s="125"/>
      <c r="I36" s="125"/>
      <c r="J36" s="125"/>
      <c r="K36" s="125"/>
      <c r="L36" s="125"/>
      <c r="M36" s="125"/>
    </row>
    <row r="37" spans="1:13" ht="15" customHeight="1" x14ac:dyDescent="0.2">
      <c r="A37" s="124"/>
      <c r="B37" s="124"/>
      <c r="C37" s="138"/>
      <c r="D37" s="124"/>
      <c r="E37" s="125"/>
      <c r="F37" s="125"/>
      <c r="G37" s="125"/>
      <c r="H37" s="125"/>
      <c r="I37" s="125"/>
      <c r="J37" s="125"/>
      <c r="K37" s="125"/>
      <c r="L37" s="125"/>
      <c r="M37" s="125"/>
    </row>
    <row r="38" spans="1:13" ht="15" customHeight="1" x14ac:dyDescent="0.2">
      <c r="A38" s="702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</row>
    <row r="39" spans="1:13" ht="15" customHeight="1" x14ac:dyDescent="0.2">
      <c r="A39" s="680" t="s">
        <v>372</v>
      </c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</row>
    <row r="40" spans="1:13" ht="24.95" customHeight="1" thickBot="1" x14ac:dyDescent="0.25">
      <c r="A40" s="616" t="s">
        <v>375</v>
      </c>
      <c r="B40" s="616"/>
      <c r="C40" s="616"/>
      <c r="D40" s="616"/>
      <c r="E40" s="616"/>
      <c r="F40" s="616"/>
      <c r="G40" s="616"/>
      <c r="H40" s="616"/>
      <c r="I40" s="616"/>
      <c r="J40" s="616"/>
      <c r="K40" s="616"/>
      <c r="L40" s="616"/>
      <c r="M40" s="616"/>
    </row>
    <row r="41" spans="1:13" ht="24.95" customHeight="1" thickBot="1" x14ac:dyDescent="0.25">
      <c r="A41" s="695" t="s">
        <v>251</v>
      </c>
      <c r="B41" s="692"/>
      <c r="C41" s="135"/>
      <c r="D41" s="698" t="s">
        <v>256</v>
      </c>
      <c r="E41" s="699"/>
      <c r="F41" s="700"/>
      <c r="G41" s="700"/>
      <c r="H41" s="701"/>
      <c r="I41" s="689" t="s">
        <v>252</v>
      </c>
      <c r="J41" s="690"/>
      <c r="K41" s="690"/>
      <c r="L41" s="691"/>
      <c r="M41" s="692" t="s">
        <v>253</v>
      </c>
    </row>
    <row r="42" spans="1:13" ht="24.95" customHeight="1" thickBot="1" x14ac:dyDescent="0.25">
      <c r="A42" s="696"/>
      <c r="B42" s="693"/>
      <c r="C42" s="137"/>
      <c r="D42" s="698"/>
      <c r="E42" s="692" t="s">
        <v>254</v>
      </c>
      <c r="F42" s="692" t="s">
        <v>255</v>
      </c>
      <c r="G42" s="135" t="s">
        <v>416</v>
      </c>
      <c r="H42" s="121" t="s">
        <v>331</v>
      </c>
      <c r="I42" s="692" t="s">
        <v>378</v>
      </c>
      <c r="J42" s="146" t="s">
        <v>531</v>
      </c>
      <c r="K42" s="692" t="s">
        <v>379</v>
      </c>
      <c r="L42" s="123" t="s">
        <v>282</v>
      </c>
      <c r="M42" s="693"/>
    </row>
    <row r="43" spans="1:13" ht="13.5" thickBot="1" x14ac:dyDescent="0.25">
      <c r="A43" s="697"/>
      <c r="B43" s="694"/>
      <c r="C43" s="136"/>
      <c r="D43" s="698"/>
      <c r="E43" s="694"/>
      <c r="F43" s="694"/>
      <c r="G43" s="136"/>
      <c r="H43" s="122"/>
      <c r="I43" s="694"/>
      <c r="J43" s="149">
        <v>0.06</v>
      </c>
      <c r="K43" s="694"/>
      <c r="L43" s="122"/>
      <c r="M43" s="694"/>
    </row>
    <row r="44" spans="1:13" ht="14.25" x14ac:dyDescent="0.2">
      <c r="A44" s="92">
        <v>1</v>
      </c>
      <c r="B44" s="141" t="s">
        <v>418</v>
      </c>
      <c r="C44" s="142" t="s">
        <v>419</v>
      </c>
      <c r="D44" s="148" t="s">
        <v>88</v>
      </c>
      <c r="E44" s="143">
        <v>2500</v>
      </c>
      <c r="F44" s="96"/>
      <c r="G44" s="143">
        <v>200</v>
      </c>
      <c r="H44" s="143">
        <f>+E44</f>
        <v>2500</v>
      </c>
      <c r="I44" s="144"/>
      <c r="J44" s="145"/>
      <c r="K44" s="145"/>
      <c r="L44" s="145"/>
      <c r="M44" s="93"/>
    </row>
    <row r="45" spans="1:13" ht="14.25" x14ac:dyDescent="0.2">
      <c r="A45" s="92">
        <v>2</v>
      </c>
      <c r="B45" s="60" t="s">
        <v>420</v>
      </c>
      <c r="C45" s="140" t="s">
        <v>421</v>
      </c>
      <c r="D45" s="57" t="s">
        <v>88</v>
      </c>
      <c r="E45" s="96">
        <v>440</v>
      </c>
      <c r="F45" s="96"/>
      <c r="G45" s="96">
        <v>200</v>
      </c>
      <c r="H45" s="96">
        <f>+E45</f>
        <v>440</v>
      </c>
      <c r="I45" s="58">
        <v>34.1</v>
      </c>
      <c r="J45" s="94"/>
      <c r="K45" s="94">
        <v>33</v>
      </c>
      <c r="L45" s="94">
        <v>4.4000000000000004</v>
      </c>
      <c r="M45" s="93"/>
    </row>
    <row r="46" spans="1:13" ht="14.25" x14ac:dyDescent="0.2">
      <c r="A46" s="92">
        <v>3</v>
      </c>
      <c r="B46" s="60" t="s">
        <v>422</v>
      </c>
      <c r="C46" s="140" t="s">
        <v>423</v>
      </c>
      <c r="D46" s="57" t="s">
        <v>88</v>
      </c>
      <c r="E46" s="96">
        <v>1800</v>
      </c>
      <c r="F46" s="96"/>
      <c r="G46" s="96">
        <v>200</v>
      </c>
      <c r="H46" s="96">
        <f t="shared" ref="H46:H124" si="0">+E46</f>
        <v>1800</v>
      </c>
      <c r="I46" s="58"/>
      <c r="J46" s="94"/>
      <c r="K46" s="94">
        <v>75</v>
      </c>
      <c r="L46" s="94"/>
      <c r="M46" s="93"/>
    </row>
    <row r="47" spans="1:13" ht="14.25" x14ac:dyDescent="0.2">
      <c r="A47" s="92">
        <v>4</v>
      </c>
      <c r="B47" s="60" t="s">
        <v>424</v>
      </c>
      <c r="C47" s="140" t="s">
        <v>425</v>
      </c>
      <c r="D47" s="57" t="s">
        <v>88</v>
      </c>
      <c r="E47" s="96">
        <v>813.05</v>
      </c>
      <c r="F47" s="96"/>
      <c r="G47" s="96">
        <v>200</v>
      </c>
      <c r="H47" s="96">
        <f t="shared" si="0"/>
        <v>813.05</v>
      </c>
      <c r="I47" s="58">
        <v>63.01</v>
      </c>
      <c r="J47" s="94"/>
      <c r="K47" s="94">
        <v>60.98</v>
      </c>
      <c r="L47" s="94">
        <v>8.1300000000000008</v>
      </c>
      <c r="M47" s="93"/>
    </row>
    <row r="48" spans="1:13" ht="14.25" x14ac:dyDescent="0.2">
      <c r="A48" s="92">
        <v>5</v>
      </c>
      <c r="B48" s="60" t="s">
        <v>426</v>
      </c>
      <c r="C48" s="140" t="s">
        <v>427</v>
      </c>
      <c r="D48" s="57" t="s">
        <v>88</v>
      </c>
      <c r="E48" s="96">
        <v>484</v>
      </c>
      <c r="F48" s="96"/>
      <c r="G48" s="96">
        <v>200</v>
      </c>
      <c r="H48" s="96">
        <f t="shared" si="0"/>
        <v>484</v>
      </c>
      <c r="I48" s="58">
        <v>37.51</v>
      </c>
      <c r="J48" s="94"/>
      <c r="K48" s="94">
        <v>36.299999999999997</v>
      </c>
      <c r="L48" s="94">
        <v>4.84</v>
      </c>
      <c r="M48" s="93"/>
    </row>
    <row r="49" spans="1:13" ht="14.25" x14ac:dyDescent="0.2">
      <c r="A49" s="92">
        <v>6</v>
      </c>
      <c r="B49" s="60" t="s">
        <v>428</v>
      </c>
      <c r="C49" s="140" t="s">
        <v>429</v>
      </c>
      <c r="D49" s="57" t="s">
        <v>88</v>
      </c>
      <c r="E49" s="96">
        <v>1500</v>
      </c>
      <c r="F49" s="96"/>
      <c r="G49" s="96">
        <v>200</v>
      </c>
      <c r="H49" s="96">
        <f t="shared" si="0"/>
        <v>1500</v>
      </c>
      <c r="I49" s="58">
        <v>116.25</v>
      </c>
      <c r="J49" s="94"/>
      <c r="K49" s="94">
        <v>75</v>
      </c>
      <c r="L49" s="94">
        <v>10</v>
      </c>
      <c r="M49" s="93"/>
    </row>
    <row r="50" spans="1:13" ht="14.25" x14ac:dyDescent="0.2">
      <c r="A50" s="92"/>
      <c r="B50" s="60"/>
      <c r="C50" s="140"/>
      <c r="D50" s="57"/>
      <c r="E50" s="96"/>
      <c r="F50" s="96"/>
      <c r="G50" s="96"/>
      <c r="H50" s="96">
        <f t="shared" si="0"/>
        <v>0</v>
      </c>
      <c r="I50" s="58"/>
      <c r="J50" s="94"/>
      <c r="K50" s="94"/>
      <c r="L50" s="94"/>
      <c r="M50" s="93"/>
    </row>
    <row r="51" spans="1:13" ht="14.25" x14ac:dyDescent="0.2">
      <c r="A51" s="92">
        <v>7</v>
      </c>
      <c r="B51" s="60" t="s">
        <v>430</v>
      </c>
      <c r="C51" s="140" t="s">
        <v>431</v>
      </c>
      <c r="D51" s="57" t="s">
        <v>369</v>
      </c>
      <c r="E51" s="96">
        <v>1000</v>
      </c>
      <c r="F51" s="96"/>
      <c r="G51" s="96">
        <v>200</v>
      </c>
      <c r="H51" s="96">
        <f t="shared" si="0"/>
        <v>1000</v>
      </c>
      <c r="I51" s="58">
        <v>77.5</v>
      </c>
      <c r="J51" s="94"/>
      <c r="K51" s="94">
        <v>75</v>
      </c>
      <c r="L51" s="94">
        <v>10</v>
      </c>
      <c r="M51" s="93"/>
    </row>
    <row r="52" spans="1:13" ht="14.25" x14ac:dyDescent="0.2">
      <c r="A52" s="92">
        <v>8</v>
      </c>
      <c r="B52" s="60" t="s">
        <v>530</v>
      </c>
      <c r="C52" s="140" t="s">
        <v>432</v>
      </c>
      <c r="D52" s="57" t="s">
        <v>369</v>
      </c>
      <c r="E52" s="96">
        <v>825</v>
      </c>
      <c r="F52" s="96"/>
      <c r="G52" s="96">
        <v>200</v>
      </c>
      <c r="H52" s="96">
        <f t="shared" si="0"/>
        <v>825</v>
      </c>
      <c r="I52" s="58">
        <v>63.94</v>
      </c>
      <c r="J52" s="94"/>
      <c r="K52" s="94">
        <v>61.88</v>
      </c>
      <c r="L52" s="94">
        <v>8.25</v>
      </c>
      <c r="M52" s="93"/>
    </row>
    <row r="53" spans="1:13" ht="14.25" x14ac:dyDescent="0.2">
      <c r="A53" s="92">
        <v>9</v>
      </c>
      <c r="B53" s="60" t="s">
        <v>433</v>
      </c>
      <c r="C53" s="140" t="s">
        <v>434</v>
      </c>
      <c r="D53" s="57" t="s">
        <v>369</v>
      </c>
      <c r="E53" s="96">
        <v>310</v>
      </c>
      <c r="F53" s="96"/>
      <c r="G53" s="96">
        <v>200</v>
      </c>
      <c r="H53" s="96">
        <f t="shared" si="0"/>
        <v>310</v>
      </c>
      <c r="I53" s="58">
        <v>24.03</v>
      </c>
      <c r="J53" s="94"/>
      <c r="K53" s="94">
        <v>23.25</v>
      </c>
      <c r="L53" s="94">
        <v>3.1</v>
      </c>
      <c r="M53" s="93"/>
    </row>
    <row r="54" spans="1:13" ht="14.25" x14ac:dyDescent="0.2">
      <c r="A54" s="92">
        <v>10</v>
      </c>
      <c r="B54" s="60" t="s">
        <v>435</v>
      </c>
      <c r="C54" s="140" t="s">
        <v>436</v>
      </c>
      <c r="D54" s="57" t="s">
        <v>369</v>
      </c>
      <c r="E54" s="96">
        <v>770</v>
      </c>
      <c r="F54" s="96"/>
      <c r="G54" s="96">
        <v>200</v>
      </c>
      <c r="H54" s="96">
        <f t="shared" si="0"/>
        <v>770</v>
      </c>
      <c r="I54" s="58">
        <v>59.68</v>
      </c>
      <c r="J54" s="94"/>
      <c r="K54" s="94">
        <v>57.75</v>
      </c>
      <c r="L54" s="94">
        <v>7.7</v>
      </c>
      <c r="M54" s="93"/>
    </row>
    <row r="55" spans="1:13" ht="14.25" x14ac:dyDescent="0.2">
      <c r="A55" s="92">
        <v>11</v>
      </c>
      <c r="B55" s="60" t="s">
        <v>437</v>
      </c>
      <c r="C55" s="140" t="s">
        <v>438</v>
      </c>
      <c r="D55" s="57" t="s">
        <v>369</v>
      </c>
      <c r="E55" s="96">
        <v>400</v>
      </c>
      <c r="F55" s="96"/>
      <c r="G55" s="96">
        <v>200</v>
      </c>
      <c r="H55" s="96">
        <f t="shared" si="0"/>
        <v>400</v>
      </c>
      <c r="I55" s="58">
        <v>31</v>
      </c>
      <c r="J55" s="94"/>
      <c r="K55" s="94">
        <v>30</v>
      </c>
      <c r="L55" s="94">
        <v>4</v>
      </c>
      <c r="M55" s="93"/>
    </row>
    <row r="56" spans="1:13" ht="14.25" x14ac:dyDescent="0.2">
      <c r="A56" s="92">
        <v>12</v>
      </c>
      <c r="B56" s="60" t="s">
        <v>439</v>
      </c>
      <c r="C56" s="140" t="s">
        <v>440</v>
      </c>
      <c r="D56" s="57" t="s">
        <v>369</v>
      </c>
      <c r="E56" s="96">
        <v>400</v>
      </c>
      <c r="F56" s="96"/>
      <c r="G56" s="96">
        <v>200</v>
      </c>
      <c r="H56" s="96">
        <f t="shared" si="0"/>
        <v>400</v>
      </c>
      <c r="I56" s="58">
        <v>31</v>
      </c>
      <c r="J56" s="94"/>
      <c r="K56" s="94">
        <v>30</v>
      </c>
      <c r="L56" s="94">
        <v>4</v>
      </c>
      <c r="M56" s="93"/>
    </row>
    <row r="57" spans="1:13" ht="14.25" x14ac:dyDescent="0.2">
      <c r="A57" s="92">
        <v>13</v>
      </c>
      <c r="B57" s="60" t="s">
        <v>441</v>
      </c>
      <c r="C57" s="140" t="s">
        <v>442</v>
      </c>
      <c r="D57" s="57" t="s">
        <v>369</v>
      </c>
      <c r="E57" s="96">
        <v>500</v>
      </c>
      <c r="F57" s="96"/>
      <c r="G57" s="96">
        <v>200</v>
      </c>
      <c r="H57" s="96">
        <f t="shared" si="0"/>
        <v>500</v>
      </c>
      <c r="I57" s="58">
        <v>38.75</v>
      </c>
      <c r="J57" s="94"/>
      <c r="K57" s="94">
        <v>37.5</v>
      </c>
      <c r="L57" s="94">
        <v>5</v>
      </c>
      <c r="M57" s="93"/>
    </row>
    <row r="58" spans="1:13" ht="14.25" x14ac:dyDescent="0.2">
      <c r="A58" s="92">
        <v>14</v>
      </c>
      <c r="B58" s="60" t="s">
        <v>448</v>
      </c>
      <c r="C58" s="140" t="s">
        <v>449</v>
      </c>
      <c r="D58" s="57" t="s">
        <v>369</v>
      </c>
      <c r="E58" s="96">
        <v>1034</v>
      </c>
      <c r="F58" s="96"/>
      <c r="G58" s="96">
        <v>200</v>
      </c>
      <c r="H58" s="96">
        <f t="shared" si="0"/>
        <v>1034</v>
      </c>
      <c r="I58" s="58">
        <v>77.5</v>
      </c>
      <c r="J58" s="94"/>
      <c r="K58" s="94">
        <v>75</v>
      </c>
      <c r="L58" s="94">
        <v>10.34</v>
      </c>
      <c r="M58" s="93"/>
    </row>
    <row r="59" spans="1:13" ht="14.25" x14ac:dyDescent="0.2">
      <c r="A59" s="92">
        <v>15</v>
      </c>
      <c r="B59" s="60" t="s">
        <v>450</v>
      </c>
      <c r="C59" s="140" t="s">
        <v>451</v>
      </c>
      <c r="D59" s="57" t="s">
        <v>369</v>
      </c>
      <c r="E59" s="96">
        <v>310</v>
      </c>
      <c r="F59" s="96"/>
      <c r="G59" s="96">
        <v>200</v>
      </c>
      <c r="H59" s="96">
        <f t="shared" si="0"/>
        <v>310</v>
      </c>
      <c r="I59" s="58">
        <v>24.03</v>
      </c>
      <c r="J59" s="94"/>
      <c r="K59" s="94">
        <v>23.25</v>
      </c>
      <c r="L59" s="94">
        <v>3.1</v>
      </c>
      <c r="M59" s="93"/>
    </row>
    <row r="60" spans="1:13" ht="14.25" x14ac:dyDescent="0.2">
      <c r="A60" s="92">
        <v>16</v>
      </c>
      <c r="B60" s="60" t="s">
        <v>443</v>
      </c>
      <c r="C60" s="140" t="s">
        <v>444</v>
      </c>
      <c r="D60" s="148" t="s">
        <v>221</v>
      </c>
      <c r="E60" s="96">
        <v>825</v>
      </c>
      <c r="F60" s="96"/>
      <c r="G60" s="96">
        <v>200</v>
      </c>
      <c r="H60" s="96">
        <f t="shared" si="0"/>
        <v>825</v>
      </c>
      <c r="I60" s="58">
        <v>63.94</v>
      </c>
      <c r="J60" s="94"/>
      <c r="K60" s="94">
        <v>61.88</v>
      </c>
      <c r="L60" s="94">
        <v>8.25</v>
      </c>
      <c r="M60" s="93"/>
    </row>
    <row r="61" spans="1:13" ht="14.25" x14ac:dyDescent="0.2">
      <c r="A61" s="92">
        <v>17</v>
      </c>
      <c r="B61" s="60" t="s">
        <v>445</v>
      </c>
      <c r="C61" s="140" t="s">
        <v>446</v>
      </c>
      <c r="D61" s="57" t="s">
        <v>221</v>
      </c>
      <c r="E61" s="96">
        <v>687.5</v>
      </c>
      <c r="F61" s="96"/>
      <c r="G61" s="96">
        <v>200</v>
      </c>
      <c r="H61" s="96">
        <f t="shared" si="0"/>
        <v>687.5</v>
      </c>
      <c r="I61" s="58">
        <v>53.28</v>
      </c>
      <c r="J61" s="94"/>
      <c r="K61" s="94">
        <v>51.56</v>
      </c>
      <c r="L61" s="94">
        <v>6.88</v>
      </c>
      <c r="M61" s="93"/>
    </row>
    <row r="62" spans="1:13" ht="14.25" x14ac:dyDescent="0.2">
      <c r="A62" s="92">
        <v>18</v>
      </c>
      <c r="B62" s="60" t="s">
        <v>447</v>
      </c>
      <c r="C62" s="140" t="s">
        <v>446</v>
      </c>
      <c r="D62" s="57" t="s">
        <v>221</v>
      </c>
      <c r="E62" s="96">
        <v>385</v>
      </c>
      <c r="F62" s="96"/>
      <c r="G62" s="96">
        <v>200</v>
      </c>
      <c r="H62" s="96">
        <f t="shared" si="0"/>
        <v>385</v>
      </c>
      <c r="I62" s="58">
        <v>29.84</v>
      </c>
      <c r="J62" s="94"/>
      <c r="K62" s="94">
        <v>28.88</v>
      </c>
      <c r="L62" s="94">
        <v>3.85</v>
      </c>
      <c r="M62" s="93"/>
    </row>
    <row r="63" spans="1:13" ht="14.25" x14ac:dyDescent="0.2">
      <c r="A63" s="92">
        <v>19</v>
      </c>
      <c r="B63" s="60" t="s">
        <v>452</v>
      </c>
      <c r="C63" s="140" t="s">
        <v>446</v>
      </c>
      <c r="D63" s="57" t="s">
        <v>221</v>
      </c>
      <c r="E63" s="96">
        <v>310</v>
      </c>
      <c r="F63" s="96"/>
      <c r="G63" s="96">
        <v>200</v>
      </c>
      <c r="H63" s="96">
        <f t="shared" si="0"/>
        <v>310</v>
      </c>
      <c r="I63" s="58">
        <v>24.03</v>
      </c>
      <c r="J63" s="94"/>
      <c r="K63" s="94">
        <v>23.25</v>
      </c>
      <c r="L63" s="94">
        <v>3.1</v>
      </c>
      <c r="M63" s="93"/>
    </row>
    <row r="64" spans="1:13" ht="14.25" x14ac:dyDescent="0.2">
      <c r="A64" s="92">
        <v>20</v>
      </c>
      <c r="B64" s="60" t="s">
        <v>453</v>
      </c>
      <c r="C64" s="140" t="s">
        <v>454</v>
      </c>
      <c r="D64" s="57" t="s">
        <v>221</v>
      </c>
      <c r="E64" s="96">
        <v>385</v>
      </c>
      <c r="F64" s="96"/>
      <c r="G64" s="96">
        <v>200</v>
      </c>
      <c r="H64" s="96">
        <f t="shared" si="0"/>
        <v>385</v>
      </c>
      <c r="I64" s="58">
        <v>24.84</v>
      </c>
      <c r="J64" s="94"/>
      <c r="K64" s="94">
        <v>28.88</v>
      </c>
      <c r="L64" s="94">
        <v>3.85</v>
      </c>
      <c r="M64" s="93"/>
    </row>
    <row r="65" spans="1:13" ht="14.25" x14ac:dyDescent="0.2">
      <c r="A65" s="92">
        <v>21</v>
      </c>
      <c r="B65" s="60" t="s">
        <v>455</v>
      </c>
      <c r="C65" s="140" t="s">
        <v>446</v>
      </c>
      <c r="D65" s="57" t="s">
        <v>221</v>
      </c>
      <c r="E65" s="96">
        <v>449.19</v>
      </c>
      <c r="F65" s="96"/>
      <c r="G65" s="96">
        <v>200</v>
      </c>
      <c r="H65" s="96">
        <f t="shared" si="0"/>
        <v>449.19</v>
      </c>
      <c r="I65" s="58">
        <v>34.81</v>
      </c>
      <c r="J65" s="94"/>
      <c r="K65" s="94">
        <v>33.69</v>
      </c>
      <c r="L65" s="94">
        <v>4.49</v>
      </c>
      <c r="M65" s="93"/>
    </row>
    <row r="66" spans="1:13" ht="14.25" x14ac:dyDescent="0.2">
      <c r="A66" s="92">
        <v>22</v>
      </c>
      <c r="B66" s="60" t="s">
        <v>456</v>
      </c>
      <c r="C66" s="140" t="s">
        <v>457</v>
      </c>
      <c r="D66" s="57" t="s">
        <v>221</v>
      </c>
      <c r="E66" s="96">
        <v>936</v>
      </c>
      <c r="F66" s="96"/>
      <c r="G66" s="96">
        <v>200</v>
      </c>
      <c r="H66" s="96">
        <f t="shared" si="0"/>
        <v>936</v>
      </c>
      <c r="I66" s="58">
        <v>72.540000000000006</v>
      </c>
      <c r="J66" s="94"/>
      <c r="K66" s="94">
        <v>70.2</v>
      </c>
      <c r="L66" s="94">
        <v>9.36</v>
      </c>
      <c r="M66" s="93"/>
    </row>
    <row r="67" spans="1:13" ht="14.25" x14ac:dyDescent="0.2">
      <c r="A67" s="92">
        <v>23</v>
      </c>
      <c r="B67" s="60" t="s">
        <v>458</v>
      </c>
      <c r="C67" s="140" t="s">
        <v>454</v>
      </c>
      <c r="D67" s="57" t="s">
        <v>221</v>
      </c>
      <c r="E67" s="96">
        <v>343.98</v>
      </c>
      <c r="F67" s="96"/>
      <c r="G67" s="96">
        <v>200</v>
      </c>
      <c r="H67" s="96">
        <f t="shared" si="0"/>
        <v>343.98</v>
      </c>
      <c r="I67" s="58"/>
      <c r="J67" s="94"/>
      <c r="K67" s="94"/>
      <c r="L67" s="94"/>
      <c r="M67" s="93"/>
    </row>
    <row r="68" spans="1:13" ht="14.25" x14ac:dyDescent="0.2">
      <c r="A68" s="92">
        <v>24</v>
      </c>
      <c r="B68" s="60" t="s">
        <v>459</v>
      </c>
      <c r="C68" s="140" t="s">
        <v>454</v>
      </c>
      <c r="D68" s="57" t="s">
        <v>221</v>
      </c>
      <c r="E68" s="96">
        <v>417.1</v>
      </c>
      <c r="F68" s="96"/>
      <c r="G68" s="96">
        <v>200</v>
      </c>
      <c r="H68" s="96">
        <f t="shared" si="0"/>
        <v>417.1</v>
      </c>
      <c r="I68" s="58">
        <v>32.33</v>
      </c>
      <c r="J68" s="94"/>
      <c r="K68" s="94">
        <v>31.28</v>
      </c>
      <c r="L68" s="94">
        <v>4.17</v>
      </c>
      <c r="M68" s="93"/>
    </row>
    <row r="69" spans="1:13" ht="14.25" x14ac:dyDescent="0.2">
      <c r="A69" s="92">
        <v>25</v>
      </c>
      <c r="B69" s="60" t="s">
        <v>460</v>
      </c>
      <c r="C69" s="140" t="s">
        <v>461</v>
      </c>
      <c r="D69" s="57" t="s">
        <v>221</v>
      </c>
      <c r="E69" s="96">
        <v>687.5</v>
      </c>
      <c r="F69" s="96"/>
      <c r="G69" s="96">
        <v>200</v>
      </c>
      <c r="H69" s="96">
        <f t="shared" si="0"/>
        <v>687.5</v>
      </c>
      <c r="I69" s="58">
        <v>53.28</v>
      </c>
      <c r="J69" s="94"/>
      <c r="K69" s="94">
        <v>51.56</v>
      </c>
      <c r="L69" s="94">
        <v>6.88</v>
      </c>
      <c r="M69" s="93"/>
    </row>
    <row r="70" spans="1:13" ht="14.25" x14ac:dyDescent="0.2">
      <c r="A70" s="92">
        <v>26</v>
      </c>
      <c r="B70" s="60" t="s">
        <v>462</v>
      </c>
      <c r="C70" s="140" t="s">
        <v>463</v>
      </c>
      <c r="D70" s="57" t="s">
        <v>221</v>
      </c>
      <c r="E70" s="96">
        <v>333.33</v>
      </c>
      <c r="F70" s="96"/>
      <c r="G70" s="96">
        <v>200</v>
      </c>
      <c r="H70" s="96">
        <f t="shared" si="0"/>
        <v>333.33</v>
      </c>
      <c r="I70" s="58">
        <v>25.83</v>
      </c>
      <c r="J70" s="94"/>
      <c r="K70" s="94">
        <v>25</v>
      </c>
      <c r="L70" s="94">
        <v>3.33</v>
      </c>
      <c r="M70" s="93"/>
    </row>
    <row r="71" spans="1:13" ht="14.25" x14ac:dyDescent="0.2">
      <c r="A71" s="92">
        <v>27</v>
      </c>
      <c r="B71" s="60" t="s">
        <v>464</v>
      </c>
      <c r="C71" s="140" t="s">
        <v>463</v>
      </c>
      <c r="D71" s="57" t="s">
        <v>221</v>
      </c>
      <c r="E71" s="96">
        <v>483.62</v>
      </c>
      <c r="F71" s="96"/>
      <c r="G71" s="96">
        <v>200</v>
      </c>
      <c r="H71" s="96">
        <f t="shared" si="0"/>
        <v>483.62</v>
      </c>
      <c r="I71" s="58">
        <v>37.479999999999997</v>
      </c>
      <c r="J71" s="94"/>
      <c r="K71" s="94">
        <v>36.270000000000003</v>
      </c>
      <c r="L71" s="94">
        <v>4.84</v>
      </c>
      <c r="M71" s="93"/>
    </row>
    <row r="72" spans="1:13" ht="14.25" x14ac:dyDescent="0.2">
      <c r="A72" s="92">
        <v>28</v>
      </c>
      <c r="B72" s="95" t="s">
        <v>465</v>
      </c>
      <c r="C72" s="131" t="s">
        <v>466</v>
      </c>
      <c r="D72" s="57" t="s">
        <v>221</v>
      </c>
      <c r="E72" s="96">
        <v>330</v>
      </c>
      <c r="F72" s="96"/>
      <c r="G72" s="96">
        <v>200</v>
      </c>
      <c r="H72" s="96">
        <f t="shared" si="0"/>
        <v>330</v>
      </c>
      <c r="I72" s="58">
        <v>25.58</v>
      </c>
      <c r="J72" s="94"/>
      <c r="K72" s="94">
        <v>24.75</v>
      </c>
      <c r="L72" s="94">
        <v>3.3</v>
      </c>
      <c r="M72" s="93"/>
    </row>
    <row r="73" spans="1:13" ht="14.25" x14ac:dyDescent="0.2">
      <c r="A73" s="92">
        <v>29</v>
      </c>
      <c r="B73" s="60" t="s">
        <v>467</v>
      </c>
      <c r="C73" s="140" t="s">
        <v>468</v>
      </c>
      <c r="D73" s="57" t="s">
        <v>221</v>
      </c>
      <c r="E73" s="96">
        <v>700</v>
      </c>
      <c r="F73" s="96"/>
      <c r="G73" s="96">
        <v>200</v>
      </c>
      <c r="H73" s="96">
        <f t="shared" si="0"/>
        <v>700</v>
      </c>
      <c r="I73" s="58">
        <v>54.25</v>
      </c>
      <c r="J73" s="94"/>
      <c r="K73" s="94">
        <v>52.5</v>
      </c>
      <c r="L73" s="94">
        <v>7</v>
      </c>
      <c r="M73" s="93"/>
    </row>
    <row r="74" spans="1:13" ht="14.25" x14ac:dyDescent="0.2">
      <c r="A74" s="92">
        <v>30</v>
      </c>
      <c r="B74" s="95" t="s">
        <v>469</v>
      </c>
      <c r="C74" s="60" t="s">
        <v>470</v>
      </c>
      <c r="D74" s="57" t="s">
        <v>221</v>
      </c>
      <c r="E74" s="96">
        <v>550</v>
      </c>
      <c r="F74" s="96"/>
      <c r="G74" s="96">
        <v>200</v>
      </c>
      <c r="H74" s="96">
        <f t="shared" si="0"/>
        <v>550</v>
      </c>
      <c r="I74" s="58">
        <v>42.63</v>
      </c>
      <c r="J74" s="94"/>
      <c r="K74" s="94">
        <v>41.25</v>
      </c>
      <c r="L74" s="94">
        <v>5.5</v>
      </c>
      <c r="M74" s="93"/>
    </row>
    <row r="75" spans="1:13" ht="14.25" x14ac:dyDescent="0.2">
      <c r="A75" s="92">
        <v>31</v>
      </c>
      <c r="B75" s="95" t="s">
        <v>471</v>
      </c>
      <c r="C75" s="60" t="s">
        <v>472</v>
      </c>
      <c r="D75" s="57" t="s">
        <v>221</v>
      </c>
      <c r="E75" s="96">
        <v>594</v>
      </c>
      <c r="F75" s="96"/>
      <c r="G75" s="96">
        <v>200</v>
      </c>
      <c r="H75" s="96">
        <f t="shared" si="0"/>
        <v>594</v>
      </c>
      <c r="I75" s="58">
        <v>46.04</v>
      </c>
      <c r="J75" s="94"/>
      <c r="K75" s="94">
        <v>44.55</v>
      </c>
      <c r="L75" s="94">
        <v>5.94</v>
      </c>
      <c r="M75" s="93"/>
    </row>
    <row r="76" spans="1:13" ht="14.25" x14ac:dyDescent="0.2">
      <c r="A76" s="92">
        <v>32</v>
      </c>
      <c r="B76" s="95" t="s">
        <v>473</v>
      </c>
      <c r="C76" s="60" t="s">
        <v>474</v>
      </c>
      <c r="D76" s="57" t="s">
        <v>221</v>
      </c>
      <c r="E76" s="96">
        <v>400</v>
      </c>
      <c r="F76" s="96"/>
      <c r="G76" s="96">
        <v>200</v>
      </c>
      <c r="H76" s="96">
        <f t="shared" si="0"/>
        <v>400</v>
      </c>
      <c r="I76" s="58">
        <v>31</v>
      </c>
      <c r="J76" s="94"/>
      <c r="K76" s="94">
        <v>30</v>
      </c>
      <c r="L76" s="94">
        <v>4</v>
      </c>
      <c r="M76" s="93"/>
    </row>
    <row r="77" spans="1:13" ht="14.25" x14ac:dyDescent="0.2">
      <c r="A77" s="92">
        <v>33</v>
      </c>
      <c r="B77" s="95" t="s">
        <v>475</v>
      </c>
      <c r="C77" s="60" t="s">
        <v>476</v>
      </c>
      <c r="D77" s="57" t="s">
        <v>221</v>
      </c>
      <c r="E77" s="96">
        <v>1034</v>
      </c>
      <c r="F77" s="96"/>
      <c r="G77" s="96">
        <v>200</v>
      </c>
      <c r="H77" s="96">
        <f t="shared" si="0"/>
        <v>1034</v>
      </c>
      <c r="I77" s="58">
        <v>77.5</v>
      </c>
      <c r="J77" s="94"/>
      <c r="K77" s="94">
        <v>75</v>
      </c>
      <c r="L77" s="94">
        <v>10</v>
      </c>
      <c r="M77" s="93"/>
    </row>
    <row r="78" spans="1:13" ht="14.25" x14ac:dyDescent="0.2">
      <c r="A78" s="92">
        <v>34</v>
      </c>
      <c r="B78" s="95" t="s">
        <v>477</v>
      </c>
      <c r="C78" s="60" t="s">
        <v>478</v>
      </c>
      <c r="D78" s="57" t="s">
        <v>221</v>
      </c>
      <c r="E78" s="96">
        <v>385</v>
      </c>
      <c r="F78" s="96"/>
      <c r="G78" s="96">
        <v>200</v>
      </c>
      <c r="H78" s="96">
        <f t="shared" si="0"/>
        <v>385</v>
      </c>
      <c r="I78" s="58">
        <v>29.84</v>
      </c>
      <c r="J78" s="94"/>
      <c r="K78" s="94">
        <v>28.88</v>
      </c>
      <c r="L78" s="94">
        <v>3.85</v>
      </c>
      <c r="M78" s="93"/>
    </row>
    <row r="79" spans="1:13" ht="14.25" x14ac:dyDescent="0.2">
      <c r="A79" s="92">
        <v>35</v>
      </c>
      <c r="B79" s="95" t="s">
        <v>479</v>
      </c>
      <c r="C79" s="60" t="s">
        <v>480</v>
      </c>
      <c r="D79" s="57" t="s">
        <v>221</v>
      </c>
      <c r="E79" s="96">
        <v>385</v>
      </c>
      <c r="F79" s="96"/>
      <c r="G79" s="96">
        <v>200</v>
      </c>
      <c r="H79" s="96">
        <f t="shared" si="0"/>
        <v>385</v>
      </c>
      <c r="I79" s="58">
        <v>29.84</v>
      </c>
      <c r="J79" s="94"/>
      <c r="K79" s="94">
        <v>28.88</v>
      </c>
      <c r="L79" s="94">
        <v>3.85</v>
      </c>
      <c r="M79" s="93"/>
    </row>
    <row r="80" spans="1:13" ht="14.25" x14ac:dyDescent="0.2">
      <c r="A80" s="92">
        <v>36</v>
      </c>
      <c r="B80" s="95" t="s">
        <v>481</v>
      </c>
      <c r="C80" s="60" t="s">
        <v>482</v>
      </c>
      <c r="D80" s="57" t="s">
        <v>221</v>
      </c>
      <c r="E80" s="96">
        <v>500</v>
      </c>
      <c r="F80" s="96"/>
      <c r="G80" s="96">
        <v>200</v>
      </c>
      <c r="H80" s="96">
        <f t="shared" si="0"/>
        <v>500</v>
      </c>
      <c r="I80" s="58">
        <v>38.75</v>
      </c>
      <c r="J80" s="94"/>
      <c r="K80" s="94">
        <v>37.5</v>
      </c>
      <c r="L80" s="94">
        <v>5</v>
      </c>
      <c r="M80" s="93"/>
    </row>
    <row r="81" spans="1:13" ht="14.25" x14ac:dyDescent="0.2">
      <c r="A81" s="92">
        <v>37</v>
      </c>
      <c r="B81" s="95" t="s">
        <v>483</v>
      </c>
      <c r="C81" s="60" t="s">
        <v>484</v>
      </c>
      <c r="D81" s="57" t="s">
        <v>221</v>
      </c>
      <c r="E81" s="96">
        <v>440</v>
      </c>
      <c r="F81" s="96"/>
      <c r="G81" s="96">
        <v>200</v>
      </c>
      <c r="H81" s="96">
        <f t="shared" si="0"/>
        <v>440</v>
      </c>
      <c r="I81" s="58"/>
      <c r="J81" s="94">
        <v>26.4</v>
      </c>
      <c r="K81" s="94">
        <v>33</v>
      </c>
      <c r="L81" s="94">
        <v>4.4000000000000004</v>
      </c>
      <c r="M81" s="93"/>
    </row>
    <row r="82" spans="1:13" ht="14.25" x14ac:dyDescent="0.2">
      <c r="A82" s="92">
        <v>38</v>
      </c>
      <c r="B82" s="95" t="s">
        <v>485</v>
      </c>
      <c r="C82" s="60" t="s">
        <v>486</v>
      </c>
      <c r="D82" s="57" t="s">
        <v>221</v>
      </c>
      <c r="E82" s="96">
        <v>330</v>
      </c>
      <c r="F82" s="96"/>
      <c r="G82" s="96">
        <v>200</v>
      </c>
      <c r="H82" s="96">
        <f t="shared" si="0"/>
        <v>330</v>
      </c>
      <c r="I82" s="58">
        <v>25.58</v>
      </c>
      <c r="J82" s="94"/>
      <c r="K82" s="94">
        <v>24.75</v>
      </c>
      <c r="L82" s="94">
        <v>3.3</v>
      </c>
      <c r="M82" s="93"/>
    </row>
    <row r="83" spans="1:13" ht="14.25" x14ac:dyDescent="0.2">
      <c r="A83" s="92">
        <v>39</v>
      </c>
      <c r="B83" s="95" t="s">
        <v>487</v>
      </c>
      <c r="C83" s="60" t="s">
        <v>486</v>
      </c>
      <c r="D83" s="57" t="s">
        <v>221</v>
      </c>
      <c r="E83" s="96">
        <v>330</v>
      </c>
      <c r="F83" s="96"/>
      <c r="G83" s="96">
        <v>200</v>
      </c>
      <c r="H83" s="96">
        <f t="shared" si="0"/>
        <v>330</v>
      </c>
      <c r="I83" s="58"/>
      <c r="J83" s="94"/>
      <c r="K83" s="94">
        <v>24.75</v>
      </c>
      <c r="L83" s="94">
        <v>3.3</v>
      </c>
      <c r="M83" s="93"/>
    </row>
    <row r="84" spans="1:13" ht="14.25" x14ac:dyDescent="0.2">
      <c r="A84" s="92">
        <v>40</v>
      </c>
      <c r="B84" s="95" t="s">
        <v>488</v>
      </c>
      <c r="C84" s="60" t="s">
        <v>486</v>
      </c>
      <c r="D84" s="57" t="s">
        <v>221</v>
      </c>
      <c r="E84" s="96">
        <v>330</v>
      </c>
      <c r="F84" s="96"/>
      <c r="G84" s="96">
        <v>200</v>
      </c>
      <c r="H84" s="96">
        <f t="shared" si="0"/>
        <v>330</v>
      </c>
      <c r="I84" s="58">
        <v>9.9</v>
      </c>
      <c r="J84" s="94"/>
      <c r="K84" s="94">
        <v>24.75</v>
      </c>
      <c r="L84" s="94">
        <v>3.3</v>
      </c>
      <c r="M84" s="93"/>
    </row>
    <row r="85" spans="1:13" ht="14.25" x14ac:dyDescent="0.2">
      <c r="A85" s="92">
        <v>41</v>
      </c>
      <c r="B85" s="95" t="s">
        <v>489</v>
      </c>
      <c r="C85" s="60" t="s">
        <v>486</v>
      </c>
      <c r="D85" s="57" t="s">
        <v>221</v>
      </c>
      <c r="E85" s="96">
        <v>330</v>
      </c>
      <c r="F85" s="96"/>
      <c r="G85" s="96">
        <v>200</v>
      </c>
      <c r="H85" s="96">
        <f t="shared" si="0"/>
        <v>330</v>
      </c>
      <c r="I85" s="58">
        <v>9.9</v>
      </c>
      <c r="J85" s="94"/>
      <c r="K85" s="94">
        <v>24.75</v>
      </c>
      <c r="L85" s="94">
        <v>3.3</v>
      </c>
      <c r="M85" s="93"/>
    </row>
    <row r="86" spans="1:13" ht="14.25" x14ac:dyDescent="0.2">
      <c r="A86" s="92">
        <v>42</v>
      </c>
      <c r="B86" s="95" t="s">
        <v>490</v>
      </c>
      <c r="C86" s="60" t="s">
        <v>486</v>
      </c>
      <c r="D86" s="57" t="s">
        <v>221</v>
      </c>
      <c r="E86" s="96">
        <v>330</v>
      </c>
      <c r="F86" s="96"/>
      <c r="G86" s="96">
        <v>200</v>
      </c>
      <c r="H86" s="96">
        <f t="shared" si="0"/>
        <v>330</v>
      </c>
      <c r="I86" s="58">
        <v>9.9</v>
      </c>
      <c r="J86" s="94"/>
      <c r="K86" s="94">
        <v>24.75</v>
      </c>
      <c r="L86" s="94">
        <v>3.3</v>
      </c>
      <c r="M86" s="93"/>
    </row>
    <row r="87" spans="1:13" ht="14.25" x14ac:dyDescent="0.2">
      <c r="A87" s="92">
        <v>43</v>
      </c>
      <c r="B87" s="95" t="s">
        <v>491</v>
      </c>
      <c r="C87" s="60" t="s">
        <v>492</v>
      </c>
      <c r="D87" s="57" t="s">
        <v>221</v>
      </c>
      <c r="E87" s="96">
        <v>350</v>
      </c>
      <c r="F87" s="96"/>
      <c r="G87" s="96">
        <v>200</v>
      </c>
      <c r="H87" s="96">
        <f t="shared" si="0"/>
        <v>350</v>
      </c>
      <c r="I87" s="58">
        <v>27.13</v>
      </c>
      <c r="J87" s="94"/>
      <c r="K87" s="94">
        <v>26.25</v>
      </c>
      <c r="L87" s="94">
        <v>3.5</v>
      </c>
      <c r="M87" s="93"/>
    </row>
    <row r="88" spans="1:13" ht="14.25" x14ac:dyDescent="0.2">
      <c r="A88" s="92">
        <v>44</v>
      </c>
      <c r="B88" s="95" t="s">
        <v>493</v>
      </c>
      <c r="C88" s="60" t="s">
        <v>494</v>
      </c>
      <c r="D88" s="57" t="s">
        <v>221</v>
      </c>
      <c r="E88" s="96">
        <v>310</v>
      </c>
      <c r="F88" s="96"/>
      <c r="G88" s="96">
        <v>200</v>
      </c>
      <c r="H88" s="96">
        <f t="shared" si="0"/>
        <v>310</v>
      </c>
      <c r="I88" s="58">
        <v>24.03</v>
      </c>
      <c r="J88" s="94"/>
      <c r="K88" s="94">
        <v>23.25</v>
      </c>
      <c r="L88" s="94">
        <v>3.1</v>
      </c>
      <c r="M88" s="93"/>
    </row>
    <row r="89" spans="1:13" ht="14.25" x14ac:dyDescent="0.2">
      <c r="A89" s="92">
        <v>45</v>
      </c>
      <c r="B89" s="95" t="s">
        <v>495</v>
      </c>
      <c r="C89" s="60" t="s">
        <v>494</v>
      </c>
      <c r="D89" s="57" t="s">
        <v>221</v>
      </c>
      <c r="E89" s="96">
        <v>310</v>
      </c>
      <c r="F89" s="96"/>
      <c r="G89" s="96">
        <v>200</v>
      </c>
      <c r="H89" s="96">
        <f t="shared" si="0"/>
        <v>310</v>
      </c>
      <c r="I89" s="58">
        <v>24.03</v>
      </c>
      <c r="J89" s="94"/>
      <c r="K89" s="94">
        <v>23.25</v>
      </c>
      <c r="L89" s="94">
        <v>3.1</v>
      </c>
      <c r="M89" s="93"/>
    </row>
    <row r="90" spans="1:13" ht="14.25" x14ac:dyDescent="0.2">
      <c r="A90" s="92">
        <v>46</v>
      </c>
      <c r="B90" s="95" t="s">
        <v>496</v>
      </c>
      <c r="C90" s="60" t="s">
        <v>494</v>
      </c>
      <c r="D90" s="57" t="s">
        <v>221</v>
      </c>
      <c r="E90" s="96">
        <v>310</v>
      </c>
      <c r="F90" s="96"/>
      <c r="G90" s="96">
        <v>200</v>
      </c>
      <c r="H90" s="96">
        <f t="shared" si="0"/>
        <v>310</v>
      </c>
      <c r="I90" s="58">
        <v>24.03</v>
      </c>
      <c r="J90" s="94"/>
      <c r="K90" s="94">
        <v>23.25</v>
      </c>
      <c r="L90" s="94">
        <v>3.1</v>
      </c>
      <c r="M90" s="93"/>
    </row>
    <row r="91" spans="1:13" ht="14.25" x14ac:dyDescent="0.2">
      <c r="A91" s="92">
        <v>47</v>
      </c>
      <c r="B91" s="95" t="s">
        <v>497</v>
      </c>
      <c r="C91" s="60" t="s">
        <v>494</v>
      </c>
      <c r="D91" s="57" t="s">
        <v>221</v>
      </c>
      <c r="E91" s="96">
        <v>310</v>
      </c>
      <c r="F91" s="96"/>
      <c r="G91" s="96">
        <v>200</v>
      </c>
      <c r="H91" s="96">
        <f t="shared" si="0"/>
        <v>310</v>
      </c>
      <c r="I91" s="58">
        <v>24.03</v>
      </c>
      <c r="J91" s="94"/>
      <c r="K91" s="94">
        <v>23.25</v>
      </c>
      <c r="L91" s="94">
        <v>3.1</v>
      </c>
      <c r="M91" s="93"/>
    </row>
    <row r="92" spans="1:13" ht="14.25" x14ac:dyDescent="0.2">
      <c r="A92" s="92">
        <v>48</v>
      </c>
      <c r="B92" s="95" t="s">
        <v>498</v>
      </c>
      <c r="C92" s="60" t="s">
        <v>494</v>
      </c>
      <c r="D92" s="57" t="s">
        <v>221</v>
      </c>
      <c r="E92" s="96">
        <v>310</v>
      </c>
      <c r="F92" s="96"/>
      <c r="G92" s="96">
        <v>200</v>
      </c>
      <c r="H92" s="96">
        <f t="shared" si="0"/>
        <v>310</v>
      </c>
      <c r="I92" s="58">
        <v>24.03</v>
      </c>
      <c r="J92" s="94"/>
      <c r="K92" s="94">
        <v>23.25</v>
      </c>
      <c r="L92" s="94">
        <v>3.1</v>
      </c>
      <c r="M92" s="93"/>
    </row>
    <row r="93" spans="1:13" ht="14.25" x14ac:dyDescent="0.2">
      <c r="A93" s="92">
        <v>49</v>
      </c>
      <c r="B93" s="95" t="s">
        <v>499</v>
      </c>
      <c r="C93" s="60" t="s">
        <v>500</v>
      </c>
      <c r="D93" s="57" t="s">
        <v>221</v>
      </c>
      <c r="E93" s="96">
        <v>310</v>
      </c>
      <c r="F93" s="96"/>
      <c r="G93" s="96">
        <v>200</v>
      </c>
      <c r="H93" s="96">
        <f t="shared" si="0"/>
        <v>310</v>
      </c>
      <c r="I93" s="58">
        <v>24.03</v>
      </c>
      <c r="J93" s="94"/>
      <c r="K93" s="94">
        <v>23.25</v>
      </c>
      <c r="L93" s="94">
        <v>3.1</v>
      </c>
      <c r="M93" s="93"/>
    </row>
    <row r="94" spans="1:13" ht="14.25" x14ac:dyDescent="0.2">
      <c r="A94" s="92">
        <v>50</v>
      </c>
      <c r="B94" s="95" t="s">
        <v>501</v>
      </c>
      <c r="C94" s="60" t="s">
        <v>502</v>
      </c>
      <c r="D94" s="57" t="s">
        <v>221</v>
      </c>
      <c r="E94" s="96">
        <v>519.16</v>
      </c>
      <c r="F94" s="96"/>
      <c r="G94" s="96">
        <v>200</v>
      </c>
      <c r="H94" s="96">
        <f t="shared" si="0"/>
        <v>519.16</v>
      </c>
      <c r="I94" s="58"/>
      <c r="J94" s="94"/>
      <c r="K94" s="94"/>
      <c r="L94" s="94"/>
      <c r="M94" s="93"/>
    </row>
    <row r="95" spans="1:13" ht="14.25" x14ac:dyDescent="0.2">
      <c r="A95" s="92">
        <v>51</v>
      </c>
      <c r="B95" s="95" t="s">
        <v>503</v>
      </c>
      <c r="C95" s="60" t="s">
        <v>502</v>
      </c>
      <c r="D95" s="57" t="s">
        <v>221</v>
      </c>
      <c r="E95" s="96">
        <v>385</v>
      </c>
      <c r="F95" s="96"/>
      <c r="G95" s="96">
        <v>200</v>
      </c>
      <c r="H95" s="96">
        <f t="shared" si="0"/>
        <v>385</v>
      </c>
      <c r="I95" s="58">
        <v>29.84</v>
      </c>
      <c r="J95" s="94"/>
      <c r="K95" s="94">
        <v>28.88</v>
      </c>
      <c r="L95" s="94">
        <v>3.85</v>
      </c>
      <c r="M95" s="93"/>
    </row>
    <row r="96" spans="1:13" ht="14.25" x14ac:dyDescent="0.2">
      <c r="A96" s="92">
        <v>52</v>
      </c>
      <c r="B96" s="95" t="s">
        <v>504</v>
      </c>
      <c r="C96" s="60" t="s">
        <v>505</v>
      </c>
      <c r="D96" s="57" t="s">
        <v>221</v>
      </c>
      <c r="E96" s="96">
        <v>310</v>
      </c>
      <c r="F96" s="96"/>
      <c r="G96" s="96">
        <v>200</v>
      </c>
      <c r="H96" s="96">
        <f t="shared" si="0"/>
        <v>310</v>
      </c>
      <c r="I96" s="58">
        <v>24.03</v>
      </c>
      <c r="J96" s="94"/>
      <c r="K96" s="94">
        <v>23.25</v>
      </c>
      <c r="L96" s="94">
        <v>3.1</v>
      </c>
      <c r="M96" s="93"/>
    </row>
    <row r="97" spans="1:13" ht="14.25" x14ac:dyDescent="0.2">
      <c r="A97" s="92">
        <v>53</v>
      </c>
      <c r="B97" s="95" t="s">
        <v>506</v>
      </c>
      <c r="C97" s="60" t="s">
        <v>507</v>
      </c>
      <c r="D97" s="57" t="s">
        <v>221</v>
      </c>
      <c r="E97" s="96">
        <v>385</v>
      </c>
      <c r="F97" s="96"/>
      <c r="G97" s="96">
        <v>200</v>
      </c>
      <c r="H97" s="96">
        <f t="shared" si="0"/>
        <v>385</v>
      </c>
      <c r="I97" s="58">
        <v>29.84</v>
      </c>
      <c r="J97" s="94"/>
      <c r="K97" s="94">
        <v>28.88</v>
      </c>
      <c r="L97" s="94">
        <v>3.85</v>
      </c>
      <c r="M97" s="93"/>
    </row>
    <row r="98" spans="1:13" ht="14.25" x14ac:dyDescent="0.2">
      <c r="A98" s="92">
        <v>54</v>
      </c>
      <c r="B98" s="95" t="s">
        <v>508</v>
      </c>
      <c r="C98" s="60" t="s">
        <v>502</v>
      </c>
      <c r="D98" s="57" t="s">
        <v>221</v>
      </c>
      <c r="E98" s="96">
        <v>440</v>
      </c>
      <c r="F98" s="96"/>
      <c r="G98" s="96">
        <v>200</v>
      </c>
      <c r="H98" s="96">
        <f t="shared" si="0"/>
        <v>440</v>
      </c>
      <c r="I98" s="58">
        <v>34.1</v>
      </c>
      <c r="J98" s="94"/>
      <c r="K98" s="94">
        <v>33</v>
      </c>
      <c r="L98" s="94">
        <v>4.4000000000000004</v>
      </c>
      <c r="M98" s="93"/>
    </row>
    <row r="99" spans="1:13" ht="14.25" x14ac:dyDescent="0.2">
      <c r="A99" s="92">
        <v>55</v>
      </c>
      <c r="B99" s="95" t="s">
        <v>509</v>
      </c>
      <c r="C99" s="60" t="s">
        <v>507</v>
      </c>
      <c r="D99" s="57" t="s">
        <v>221</v>
      </c>
      <c r="E99" s="96">
        <v>357.5</v>
      </c>
      <c r="F99" s="96"/>
      <c r="G99" s="96">
        <v>200</v>
      </c>
      <c r="H99" s="96">
        <f t="shared" si="0"/>
        <v>357.5</v>
      </c>
      <c r="I99" s="58"/>
      <c r="J99" s="94">
        <v>21.45</v>
      </c>
      <c r="K99" s="94">
        <v>26.81</v>
      </c>
      <c r="L99" s="94">
        <v>3.58</v>
      </c>
      <c r="M99" s="93"/>
    </row>
    <row r="100" spans="1:13" ht="14.25" x14ac:dyDescent="0.2">
      <c r="A100" s="92">
        <v>56</v>
      </c>
      <c r="B100" s="95" t="s">
        <v>510</v>
      </c>
      <c r="C100" s="60" t="s">
        <v>511</v>
      </c>
      <c r="D100" s="57" t="s">
        <v>221</v>
      </c>
      <c r="E100" s="96">
        <v>444.44</v>
      </c>
      <c r="F100" s="96"/>
      <c r="G100" s="96">
        <v>200</v>
      </c>
      <c r="H100" s="96">
        <f t="shared" si="0"/>
        <v>444.44</v>
      </c>
      <c r="I100" s="58">
        <v>34.44</v>
      </c>
      <c r="J100" s="94"/>
      <c r="K100" s="94">
        <v>33.33</v>
      </c>
      <c r="L100" s="94">
        <v>4.4400000000000004</v>
      </c>
      <c r="M100" s="93"/>
    </row>
    <row r="101" spans="1:13" ht="14.25" x14ac:dyDescent="0.2">
      <c r="A101" s="92">
        <v>57</v>
      </c>
      <c r="B101" s="95" t="s">
        <v>512</v>
      </c>
      <c r="C101" s="60" t="s">
        <v>507</v>
      </c>
      <c r="D101" s="57" t="s">
        <v>221</v>
      </c>
      <c r="E101" s="96">
        <v>385</v>
      </c>
      <c r="F101" s="96"/>
      <c r="G101" s="96">
        <v>200</v>
      </c>
      <c r="H101" s="96">
        <f t="shared" si="0"/>
        <v>385</v>
      </c>
      <c r="I101" s="58"/>
      <c r="J101" s="94"/>
      <c r="K101" s="94">
        <v>28.88</v>
      </c>
      <c r="L101" s="94">
        <v>3.85</v>
      </c>
      <c r="M101" s="93"/>
    </row>
    <row r="102" spans="1:13" ht="14.25" x14ac:dyDescent="0.2">
      <c r="A102" s="92">
        <v>58</v>
      </c>
      <c r="B102" s="95" t="s">
        <v>513</v>
      </c>
      <c r="C102" s="60" t="s">
        <v>514</v>
      </c>
      <c r="D102" s="57" t="s">
        <v>221</v>
      </c>
      <c r="E102" s="96">
        <v>350</v>
      </c>
      <c r="F102" s="96"/>
      <c r="G102" s="96">
        <v>200</v>
      </c>
      <c r="H102" s="96">
        <f t="shared" si="0"/>
        <v>350</v>
      </c>
      <c r="I102" s="58">
        <v>27.13</v>
      </c>
      <c r="J102" s="94"/>
      <c r="K102" s="94">
        <v>26.25</v>
      </c>
      <c r="L102" s="94">
        <v>3.5</v>
      </c>
      <c r="M102" s="93"/>
    </row>
    <row r="103" spans="1:13" ht="14.25" x14ac:dyDescent="0.2">
      <c r="A103" s="92">
        <v>59</v>
      </c>
      <c r="B103" s="95" t="s">
        <v>515</v>
      </c>
      <c r="C103" s="60" t="s">
        <v>516</v>
      </c>
      <c r="D103" s="57" t="s">
        <v>221</v>
      </c>
      <c r="E103" s="96">
        <v>550</v>
      </c>
      <c r="F103" s="96"/>
      <c r="G103" s="96">
        <v>200</v>
      </c>
      <c r="H103" s="96">
        <f t="shared" si="0"/>
        <v>550</v>
      </c>
      <c r="I103" s="58">
        <v>42.63</v>
      </c>
      <c r="J103" s="94"/>
      <c r="K103" s="94">
        <v>41.25</v>
      </c>
      <c r="L103" s="94">
        <v>5.5</v>
      </c>
      <c r="M103" s="93"/>
    </row>
    <row r="104" spans="1:13" ht="14.25" x14ac:dyDescent="0.2">
      <c r="A104" s="92"/>
      <c r="B104" s="95"/>
      <c r="C104" s="60"/>
      <c r="D104" s="57"/>
      <c r="E104" s="96"/>
      <c r="F104" s="96"/>
      <c r="G104" s="96"/>
      <c r="H104" s="96"/>
      <c r="I104" s="58"/>
      <c r="J104" s="94"/>
      <c r="K104" s="94"/>
      <c r="L104" s="94"/>
      <c r="M104" s="93"/>
    </row>
    <row r="105" spans="1:13" ht="14.25" x14ac:dyDescent="0.2">
      <c r="A105" s="92">
        <v>60</v>
      </c>
      <c r="B105" s="95" t="s">
        <v>517</v>
      </c>
      <c r="C105" s="60" t="s">
        <v>518</v>
      </c>
      <c r="D105" s="148" t="s">
        <v>417</v>
      </c>
      <c r="E105" s="96">
        <v>385</v>
      </c>
      <c r="F105" s="96"/>
      <c r="G105" s="96">
        <v>200</v>
      </c>
      <c r="H105" s="96">
        <f t="shared" ref="H105:H112" si="1">+E105</f>
        <v>385</v>
      </c>
      <c r="I105" s="58"/>
      <c r="J105" s="94">
        <v>23.1</v>
      </c>
      <c r="K105" s="94">
        <v>28.88</v>
      </c>
      <c r="L105" s="94">
        <v>3.85</v>
      </c>
      <c r="M105" s="93"/>
    </row>
    <row r="106" spans="1:13" ht="14.25" x14ac:dyDescent="0.2">
      <c r="A106" s="92">
        <v>61</v>
      </c>
      <c r="B106" s="95" t="s">
        <v>519</v>
      </c>
      <c r="C106" s="60" t="s">
        <v>520</v>
      </c>
      <c r="D106" s="57" t="s">
        <v>417</v>
      </c>
      <c r="E106" s="96">
        <v>310</v>
      </c>
      <c r="F106" s="96"/>
      <c r="G106" s="96">
        <v>200</v>
      </c>
      <c r="H106" s="96">
        <f t="shared" si="1"/>
        <v>310</v>
      </c>
      <c r="I106" s="58">
        <v>24.03</v>
      </c>
      <c r="J106" s="94"/>
      <c r="K106" s="94">
        <v>23.25</v>
      </c>
      <c r="L106" s="94">
        <v>3.1</v>
      </c>
      <c r="M106" s="93"/>
    </row>
    <row r="107" spans="1:13" ht="14.25" x14ac:dyDescent="0.2">
      <c r="A107" s="92">
        <v>62</v>
      </c>
      <c r="B107" s="95" t="s">
        <v>521</v>
      </c>
      <c r="C107" s="60" t="s">
        <v>520</v>
      </c>
      <c r="D107" s="57" t="s">
        <v>417</v>
      </c>
      <c r="E107" s="96">
        <v>310</v>
      </c>
      <c r="F107" s="96"/>
      <c r="G107" s="96">
        <v>200</v>
      </c>
      <c r="H107" s="96">
        <f t="shared" si="1"/>
        <v>310</v>
      </c>
      <c r="I107" s="58">
        <v>24.03</v>
      </c>
      <c r="J107" s="94"/>
      <c r="K107" s="94">
        <v>23.25</v>
      </c>
      <c r="L107" s="94">
        <v>3.1</v>
      </c>
      <c r="M107" s="93"/>
    </row>
    <row r="108" spans="1:13" ht="14.25" x14ac:dyDescent="0.2">
      <c r="A108" s="92">
        <v>63</v>
      </c>
      <c r="B108" s="95" t="s">
        <v>522</v>
      </c>
      <c r="C108" s="60" t="s">
        <v>523</v>
      </c>
      <c r="D108" s="57" t="s">
        <v>417</v>
      </c>
      <c r="E108" s="96">
        <v>330</v>
      </c>
      <c r="F108" s="96"/>
      <c r="G108" s="96">
        <v>200</v>
      </c>
      <c r="H108" s="96">
        <f t="shared" si="1"/>
        <v>330</v>
      </c>
      <c r="I108" s="58">
        <v>26.2</v>
      </c>
      <c r="J108" s="94"/>
      <c r="K108" s="94">
        <v>24.75</v>
      </c>
      <c r="L108" s="94">
        <v>3.3</v>
      </c>
      <c r="M108" s="93"/>
    </row>
    <row r="109" spans="1:13" ht="14.25" x14ac:dyDescent="0.2">
      <c r="A109" s="92">
        <v>64</v>
      </c>
      <c r="B109" s="95" t="s">
        <v>524</v>
      </c>
      <c r="C109" s="60" t="s">
        <v>523</v>
      </c>
      <c r="D109" s="57" t="s">
        <v>417</v>
      </c>
      <c r="E109" s="96">
        <v>330</v>
      </c>
      <c r="F109" s="96"/>
      <c r="G109" s="96">
        <v>200</v>
      </c>
      <c r="H109" s="96">
        <f t="shared" si="1"/>
        <v>330</v>
      </c>
      <c r="I109" s="58">
        <v>24.75</v>
      </c>
      <c r="J109" s="94"/>
      <c r="K109" s="94">
        <v>25.58</v>
      </c>
      <c r="L109" s="94">
        <v>3.3</v>
      </c>
      <c r="M109" s="93"/>
    </row>
    <row r="110" spans="1:13" ht="14.25" x14ac:dyDescent="0.2">
      <c r="A110" s="92">
        <v>65</v>
      </c>
      <c r="B110" s="95" t="s">
        <v>525</v>
      </c>
      <c r="C110" s="60" t="s">
        <v>523</v>
      </c>
      <c r="D110" s="57" t="s">
        <v>417</v>
      </c>
      <c r="E110" s="96">
        <v>310</v>
      </c>
      <c r="F110" s="96"/>
      <c r="G110" s="96">
        <v>200</v>
      </c>
      <c r="H110" s="96">
        <f t="shared" si="1"/>
        <v>310</v>
      </c>
      <c r="I110" s="58">
        <v>24.03</v>
      </c>
      <c r="J110" s="94"/>
      <c r="K110" s="94">
        <v>23.25</v>
      </c>
      <c r="L110" s="94">
        <v>3.1</v>
      </c>
      <c r="M110" s="93"/>
    </row>
    <row r="111" spans="1:13" ht="14.25" x14ac:dyDescent="0.2">
      <c r="A111" s="92">
        <v>66</v>
      </c>
      <c r="B111" s="95" t="s">
        <v>526</v>
      </c>
      <c r="C111" s="60" t="s">
        <v>523</v>
      </c>
      <c r="D111" s="57" t="s">
        <v>417</v>
      </c>
      <c r="E111" s="96">
        <v>310</v>
      </c>
      <c r="F111" s="96"/>
      <c r="G111" s="96">
        <v>200</v>
      </c>
      <c r="H111" s="96">
        <f t="shared" si="1"/>
        <v>310</v>
      </c>
      <c r="I111" s="58">
        <v>24.03</v>
      </c>
      <c r="J111" s="94"/>
      <c r="K111" s="94">
        <v>23.25</v>
      </c>
      <c r="L111" s="94">
        <v>3.1</v>
      </c>
      <c r="M111" s="93"/>
    </row>
    <row r="112" spans="1:13" ht="14.25" x14ac:dyDescent="0.2">
      <c r="A112" s="92">
        <v>67</v>
      </c>
      <c r="B112" s="150" t="s">
        <v>532</v>
      </c>
      <c r="C112" s="60" t="s">
        <v>533</v>
      </c>
      <c r="D112" s="57" t="s">
        <v>417</v>
      </c>
      <c r="E112" s="96">
        <v>504.9</v>
      </c>
      <c r="F112" s="96"/>
      <c r="G112" s="96">
        <v>200</v>
      </c>
      <c r="H112" s="96">
        <f t="shared" si="1"/>
        <v>504.9</v>
      </c>
      <c r="I112" s="58">
        <v>39.130000000000003</v>
      </c>
      <c r="J112" s="94"/>
      <c r="K112" s="94">
        <v>37.869999999999997</v>
      </c>
      <c r="L112" s="94">
        <v>5.05</v>
      </c>
      <c r="M112" s="93"/>
    </row>
    <row r="113" spans="1:13" ht="14.25" x14ac:dyDescent="0.2">
      <c r="A113" s="92"/>
      <c r="B113" s="95"/>
      <c r="C113" s="60"/>
      <c r="D113" s="57"/>
      <c r="E113" s="96"/>
      <c r="F113" s="96"/>
      <c r="G113" s="96"/>
      <c r="H113" s="96"/>
      <c r="I113" s="58"/>
      <c r="J113" s="94"/>
      <c r="K113" s="94"/>
      <c r="L113" s="94"/>
      <c r="M113" s="93"/>
    </row>
    <row r="114" spans="1:13" ht="14.25" x14ac:dyDescent="0.2">
      <c r="A114" s="92"/>
      <c r="B114" s="95"/>
      <c r="C114" s="60"/>
      <c r="D114" s="57"/>
      <c r="E114" s="96"/>
      <c r="F114" s="96"/>
      <c r="G114" s="96"/>
      <c r="H114" s="96"/>
      <c r="I114" s="58"/>
      <c r="J114" s="94"/>
      <c r="K114" s="94"/>
      <c r="L114" s="94"/>
      <c r="M114" s="93"/>
    </row>
    <row r="115" spans="1:13" ht="14.25" x14ac:dyDescent="0.2">
      <c r="A115" s="92"/>
      <c r="B115" s="95"/>
      <c r="C115" s="60"/>
      <c r="D115" s="57"/>
      <c r="E115" s="96"/>
      <c r="F115" s="96"/>
      <c r="G115" s="96"/>
      <c r="H115" s="96"/>
      <c r="I115" s="58"/>
      <c r="J115" s="94"/>
      <c r="K115" s="94"/>
      <c r="L115" s="94"/>
      <c r="M115" s="93"/>
    </row>
    <row r="116" spans="1:13" ht="14.25" x14ac:dyDescent="0.2">
      <c r="A116" s="92"/>
      <c r="B116" s="95"/>
      <c r="C116" s="60"/>
      <c r="D116" s="57"/>
      <c r="E116" s="96"/>
      <c r="F116" s="96"/>
      <c r="G116" s="96"/>
      <c r="H116" s="96"/>
      <c r="I116" s="58"/>
      <c r="J116" s="94"/>
      <c r="K116" s="94"/>
      <c r="L116" s="94"/>
      <c r="M116" s="93"/>
    </row>
    <row r="117" spans="1:13" ht="14.25" x14ac:dyDescent="0.2">
      <c r="A117" s="92"/>
      <c r="B117" s="95"/>
      <c r="C117" s="60"/>
      <c r="D117" s="57"/>
      <c r="E117" s="96"/>
      <c r="F117" s="96"/>
      <c r="G117" s="96"/>
      <c r="H117" s="96"/>
      <c r="I117" s="58"/>
      <c r="J117" s="94"/>
      <c r="K117" s="94"/>
      <c r="L117" s="94"/>
      <c r="M117" s="93"/>
    </row>
    <row r="118" spans="1:13" ht="14.25" x14ac:dyDescent="0.2">
      <c r="A118" s="92"/>
      <c r="B118" s="95"/>
      <c r="C118" s="60"/>
      <c r="D118" s="57"/>
      <c r="E118" s="96"/>
      <c r="F118" s="96"/>
      <c r="G118" s="96"/>
      <c r="H118" s="96"/>
      <c r="I118" s="58"/>
      <c r="J118" s="94"/>
      <c r="K118" s="94"/>
      <c r="L118" s="94"/>
      <c r="M118" s="93"/>
    </row>
    <row r="119" spans="1:13" ht="14.25" x14ac:dyDescent="0.2">
      <c r="A119" s="92"/>
      <c r="B119" s="95"/>
      <c r="C119" s="60"/>
      <c r="D119" s="57"/>
      <c r="E119" s="96"/>
      <c r="F119" s="96"/>
      <c r="G119" s="96"/>
      <c r="H119" s="96"/>
      <c r="I119" s="58"/>
      <c r="J119" s="94"/>
      <c r="K119" s="94"/>
      <c r="L119" s="94"/>
      <c r="M119" s="93"/>
    </row>
    <row r="120" spans="1:13" ht="14.25" x14ac:dyDescent="0.2">
      <c r="A120" s="92"/>
      <c r="B120" s="95"/>
      <c r="C120" s="60"/>
      <c r="D120" s="57"/>
      <c r="E120" s="96"/>
      <c r="F120" s="96"/>
      <c r="G120" s="96"/>
      <c r="H120" s="96"/>
      <c r="I120" s="58"/>
      <c r="J120" s="94"/>
      <c r="K120" s="94"/>
      <c r="L120" s="94"/>
      <c r="M120" s="93"/>
    </row>
    <row r="121" spans="1:13" ht="14.25" x14ac:dyDescent="0.2">
      <c r="A121" s="92"/>
      <c r="B121" s="95"/>
      <c r="C121" s="60"/>
      <c r="D121" s="57"/>
      <c r="E121" s="96"/>
      <c r="F121" s="96"/>
      <c r="G121" s="96"/>
      <c r="H121" s="96"/>
      <c r="I121" s="58"/>
      <c r="J121" s="94"/>
      <c r="K121" s="94"/>
      <c r="L121" s="94"/>
      <c r="M121" s="93"/>
    </row>
    <row r="122" spans="1:13" ht="14.25" x14ac:dyDescent="0.2">
      <c r="A122" s="92"/>
      <c r="B122" s="95"/>
      <c r="C122" s="60"/>
      <c r="D122" s="57"/>
      <c r="E122" s="96"/>
      <c r="F122" s="96"/>
      <c r="G122" s="96"/>
      <c r="H122" s="96"/>
      <c r="I122" s="58"/>
      <c r="J122" s="94"/>
      <c r="K122" s="94"/>
      <c r="L122" s="94"/>
      <c r="M122" s="93"/>
    </row>
    <row r="123" spans="1:13" ht="14.25" x14ac:dyDescent="0.2">
      <c r="A123" s="92"/>
      <c r="B123" s="95"/>
      <c r="C123" s="60"/>
      <c r="D123" s="57"/>
      <c r="E123" s="96"/>
      <c r="F123" s="96"/>
      <c r="G123" s="96"/>
      <c r="H123" s="96"/>
      <c r="I123" s="58"/>
      <c r="J123" s="94"/>
      <c r="K123" s="94"/>
      <c r="L123" s="94"/>
      <c r="M123" s="93"/>
    </row>
    <row r="124" spans="1:13" ht="14.25" x14ac:dyDescent="0.2">
      <c r="A124" s="92"/>
      <c r="B124" s="95"/>
      <c r="C124" s="60"/>
      <c r="D124" s="57"/>
      <c r="E124" s="96"/>
      <c r="F124" s="96"/>
      <c r="G124" s="96"/>
      <c r="H124" s="96">
        <f t="shared" si="0"/>
        <v>0</v>
      </c>
      <c r="I124" s="58"/>
      <c r="J124" s="94"/>
      <c r="K124" s="94"/>
      <c r="L124" s="94"/>
      <c r="M124" s="93"/>
    </row>
    <row r="125" spans="1:13" ht="15" thickBot="1" x14ac:dyDescent="0.25">
      <c r="A125" s="92"/>
      <c r="B125" s="95"/>
      <c r="C125" s="60"/>
      <c r="D125" s="57"/>
      <c r="E125" s="96"/>
      <c r="F125" s="96"/>
      <c r="G125" s="96"/>
      <c r="H125" s="96"/>
      <c r="I125" s="58"/>
      <c r="J125" s="94"/>
      <c r="K125" s="94"/>
      <c r="L125" s="94"/>
      <c r="M125" s="93"/>
    </row>
    <row r="126" spans="1:13" ht="15.75" thickBot="1" x14ac:dyDescent="0.25">
      <c r="A126" s="685"/>
      <c r="B126" s="686"/>
      <c r="C126" s="687"/>
      <c r="D126" s="688"/>
      <c r="E126" s="97">
        <f t="shared" ref="E126:M126" si="2">SUM(E44:E125)</f>
        <v>35423.269999999997</v>
      </c>
      <c r="F126" s="97">
        <f t="shared" si="2"/>
        <v>0</v>
      </c>
      <c r="G126" s="97"/>
      <c r="H126" s="97">
        <f t="shared" si="2"/>
        <v>35423.269999999997</v>
      </c>
      <c r="I126" s="97">
        <f t="shared" si="2"/>
        <v>2140.7300000000005</v>
      </c>
      <c r="J126" s="97">
        <f t="shared" si="2"/>
        <v>70.949999999999989</v>
      </c>
      <c r="K126" s="97">
        <f t="shared" si="2"/>
        <v>2302.7800000000002</v>
      </c>
      <c r="L126" s="97">
        <f t="shared" si="2"/>
        <v>297.27000000000021</v>
      </c>
      <c r="M126" s="97">
        <f t="shared" si="2"/>
        <v>0</v>
      </c>
    </row>
  </sheetData>
  <mergeCells count="28">
    <mergeCell ref="A25:D25"/>
    <mergeCell ref="E4:H4"/>
    <mergeCell ref="A41:A43"/>
    <mergeCell ref="B41:B43"/>
    <mergeCell ref="D41:D43"/>
    <mergeCell ref="E41:H41"/>
    <mergeCell ref="A39:M39"/>
    <mergeCell ref="F5:F6"/>
    <mergeCell ref="A40:M40"/>
    <mergeCell ref="A38:M38"/>
    <mergeCell ref="A1:M1"/>
    <mergeCell ref="A2:M2"/>
    <mergeCell ref="B3:M3"/>
    <mergeCell ref="A4:A6"/>
    <mergeCell ref="B4:B6"/>
    <mergeCell ref="D4:D6"/>
    <mergeCell ref="I4:L4"/>
    <mergeCell ref="M4:M6"/>
    <mergeCell ref="E5:E6"/>
    <mergeCell ref="I5:I6"/>
    <mergeCell ref="K5:K6"/>
    <mergeCell ref="A126:D126"/>
    <mergeCell ref="I41:L41"/>
    <mergeCell ref="M41:M43"/>
    <mergeCell ref="E42:E43"/>
    <mergeCell ref="F42:F43"/>
    <mergeCell ref="I42:I43"/>
    <mergeCell ref="K42:K43"/>
  </mergeCells>
  <pageMargins left="0.7" right="0.7" top="0.75" bottom="0.75" header="0.3" footer="0.3"/>
  <pageSetup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O137"/>
  <sheetViews>
    <sheetView topLeftCell="A13" workbookViewId="0">
      <selection activeCell="O39" sqref="O39"/>
    </sheetView>
  </sheetViews>
  <sheetFormatPr baseColWidth="10" defaultRowHeight="12.75" x14ac:dyDescent="0.2"/>
  <cols>
    <col min="1" max="1" width="7" style="55" customWidth="1"/>
    <col min="2" max="2" width="17" style="55" customWidth="1"/>
    <col min="3" max="5" width="15.140625" style="55" customWidth="1"/>
    <col min="6" max="6" width="15.5703125" style="55" customWidth="1"/>
    <col min="7" max="7" width="11.42578125" style="55" customWidth="1"/>
    <col min="8" max="9" width="12.85546875" style="55" customWidth="1"/>
    <col min="10" max="10" width="13.7109375" style="55" customWidth="1"/>
    <col min="11" max="11" width="15.140625" style="55" customWidth="1"/>
    <col min="12" max="12" width="12" style="55" customWidth="1"/>
    <col min="13" max="14" width="15.140625" style="55" customWidth="1"/>
    <col min="15" max="15" width="15" style="55" customWidth="1"/>
    <col min="16" max="16384" width="11.42578125" style="55"/>
  </cols>
  <sheetData>
    <row r="1" spans="1:15" ht="14.25" x14ac:dyDescent="0.2">
      <c r="A1" s="707"/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</row>
    <row r="2" spans="1:15" x14ac:dyDescent="0.2">
      <c r="A2" s="602" t="s">
        <v>372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</row>
    <row r="3" spans="1:15" ht="13.5" thickBot="1" x14ac:dyDescent="0.25">
      <c r="A3" s="708" t="s">
        <v>375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</row>
    <row r="4" spans="1:15" ht="13.5" thickBot="1" x14ac:dyDescent="0.25">
      <c r="A4" s="695" t="s">
        <v>251</v>
      </c>
      <c r="B4" s="698" t="s">
        <v>549</v>
      </c>
      <c r="C4" s="699"/>
      <c r="D4" s="700"/>
      <c r="E4" s="700"/>
      <c r="F4" s="700"/>
      <c r="G4" s="701"/>
      <c r="H4" s="709" t="s">
        <v>252</v>
      </c>
      <c r="I4" s="710"/>
      <c r="J4" s="711"/>
      <c r="K4" s="153"/>
      <c r="L4" s="153"/>
      <c r="M4" s="152" t="s">
        <v>255</v>
      </c>
      <c r="N4" s="152" t="s">
        <v>255</v>
      </c>
      <c r="O4" s="692"/>
    </row>
    <row r="5" spans="1:15" ht="26.25" thickBot="1" x14ac:dyDescent="0.25">
      <c r="A5" s="696"/>
      <c r="B5" s="698"/>
      <c r="C5" s="703" t="s">
        <v>550</v>
      </c>
      <c r="D5" s="184" t="s">
        <v>573</v>
      </c>
      <c r="E5" s="184" t="s">
        <v>574</v>
      </c>
      <c r="F5" s="154" t="s">
        <v>551</v>
      </c>
      <c r="G5" s="154" t="s">
        <v>552</v>
      </c>
      <c r="H5" s="705" t="s">
        <v>260</v>
      </c>
      <c r="I5" s="705" t="s">
        <v>282</v>
      </c>
      <c r="J5" s="155" t="s">
        <v>253</v>
      </c>
      <c r="K5" s="192" t="s">
        <v>406</v>
      </c>
      <c r="L5" s="156" t="s">
        <v>255</v>
      </c>
      <c r="M5" s="156" t="s">
        <v>406</v>
      </c>
      <c r="N5" s="157" t="s">
        <v>553</v>
      </c>
      <c r="O5" s="693"/>
    </row>
    <row r="6" spans="1:15" ht="13.5" thickBot="1" x14ac:dyDescent="0.25">
      <c r="A6" s="697"/>
      <c r="B6" s="698"/>
      <c r="C6" s="704"/>
      <c r="D6" s="185"/>
      <c r="E6" s="185"/>
      <c r="F6" s="158"/>
      <c r="G6" s="158"/>
      <c r="H6" s="706"/>
      <c r="I6" s="706"/>
      <c r="J6" s="159" t="s">
        <v>554</v>
      </c>
      <c r="K6" s="159"/>
      <c r="L6" s="158" t="s">
        <v>554</v>
      </c>
      <c r="M6" s="158"/>
      <c r="N6" s="158"/>
      <c r="O6" s="694"/>
    </row>
    <row r="7" spans="1:15" x14ac:dyDescent="0.2">
      <c r="A7" s="92">
        <v>1</v>
      </c>
      <c r="B7" s="160" t="s">
        <v>88</v>
      </c>
      <c r="C7" s="161">
        <v>2500</v>
      </c>
      <c r="D7" s="161"/>
      <c r="E7" s="161"/>
      <c r="F7" s="143">
        <v>200</v>
      </c>
      <c r="G7" s="143">
        <f t="shared" ref="G7:G70" si="0">+C7</f>
        <v>2500</v>
      </c>
      <c r="H7" s="162"/>
      <c r="I7" s="162"/>
      <c r="J7" s="162"/>
      <c r="K7" s="163"/>
      <c r="L7" s="164"/>
      <c r="M7" s="164"/>
      <c r="N7" s="164">
        <f t="shared" ref="N7:N12" si="1">+C7*12</f>
        <v>30000</v>
      </c>
      <c r="O7" s="93">
        <f t="shared" ref="O7:O12" si="2">+F7+G7+L7+M7+N7</f>
        <v>32700</v>
      </c>
    </row>
    <row r="8" spans="1:15" x14ac:dyDescent="0.2">
      <c r="A8" s="92">
        <v>2</v>
      </c>
      <c r="B8" s="57" t="s">
        <v>88</v>
      </c>
      <c r="C8" s="161">
        <v>440</v>
      </c>
      <c r="D8" s="161"/>
      <c r="E8" s="161"/>
      <c r="F8" s="143">
        <v>200</v>
      </c>
      <c r="G8" s="143">
        <f t="shared" si="0"/>
        <v>440</v>
      </c>
      <c r="H8" s="162">
        <v>33</v>
      </c>
      <c r="I8" s="162">
        <v>4.4000000000000004</v>
      </c>
      <c r="J8" s="162">
        <f>SUM(H8:I8)</f>
        <v>37.4</v>
      </c>
      <c r="K8" s="163">
        <v>34.1</v>
      </c>
      <c r="L8" s="164">
        <f t="shared" ref="L8:M12" si="3">+J8*12</f>
        <v>448.79999999999995</v>
      </c>
      <c r="M8" s="164">
        <f t="shared" si="3"/>
        <v>409.20000000000005</v>
      </c>
      <c r="N8" s="164">
        <f t="shared" si="1"/>
        <v>5280</v>
      </c>
      <c r="O8" s="93">
        <f t="shared" si="2"/>
        <v>6778</v>
      </c>
    </row>
    <row r="9" spans="1:15" x14ac:dyDescent="0.2">
      <c r="A9" s="92">
        <v>3</v>
      </c>
      <c r="B9" s="57" t="s">
        <v>88</v>
      </c>
      <c r="C9" s="161">
        <v>1800</v>
      </c>
      <c r="D9" s="161"/>
      <c r="E9" s="161"/>
      <c r="F9" s="143">
        <v>200</v>
      </c>
      <c r="G9" s="143">
        <f t="shared" si="0"/>
        <v>1800</v>
      </c>
      <c r="H9" s="162">
        <v>75</v>
      </c>
      <c r="I9" s="162"/>
      <c r="J9" s="162">
        <f>SUM(H9:I9)</f>
        <v>75</v>
      </c>
      <c r="K9" s="163"/>
      <c r="L9" s="164">
        <f t="shared" si="3"/>
        <v>900</v>
      </c>
      <c r="M9" s="164">
        <f t="shared" si="3"/>
        <v>0</v>
      </c>
      <c r="N9" s="164">
        <f t="shared" si="1"/>
        <v>21600</v>
      </c>
      <c r="O9" s="93">
        <f t="shared" si="2"/>
        <v>24500</v>
      </c>
    </row>
    <row r="10" spans="1:15" x14ac:dyDescent="0.2">
      <c r="A10" s="92">
        <v>4</v>
      </c>
      <c r="B10" s="57" t="s">
        <v>88</v>
      </c>
      <c r="C10" s="161">
        <v>813.05</v>
      </c>
      <c r="D10" s="161"/>
      <c r="E10" s="161"/>
      <c r="F10" s="143">
        <v>200</v>
      </c>
      <c r="G10" s="143">
        <f t="shared" si="0"/>
        <v>813.05</v>
      </c>
      <c r="H10" s="162">
        <v>60.98</v>
      </c>
      <c r="I10" s="162">
        <v>8.1300000000000008</v>
      </c>
      <c r="J10" s="162">
        <f>SUM(H10:I10)</f>
        <v>69.11</v>
      </c>
      <c r="K10" s="163">
        <v>63.01</v>
      </c>
      <c r="L10" s="164">
        <f t="shared" si="3"/>
        <v>829.31999999999994</v>
      </c>
      <c r="M10" s="164">
        <f t="shared" si="3"/>
        <v>756.12</v>
      </c>
      <c r="N10" s="164">
        <f t="shared" si="1"/>
        <v>9756.5999999999985</v>
      </c>
      <c r="O10" s="93">
        <f t="shared" si="2"/>
        <v>12355.089999999998</v>
      </c>
    </row>
    <row r="11" spans="1:15" x14ac:dyDescent="0.2">
      <c r="A11" s="92">
        <v>5</v>
      </c>
      <c r="B11" s="57" t="s">
        <v>88</v>
      </c>
      <c r="C11" s="161">
        <v>484</v>
      </c>
      <c r="D11" s="191">
        <v>66</v>
      </c>
      <c r="E11" s="161">
        <f>+C11+D11</f>
        <v>550</v>
      </c>
      <c r="F11" s="143">
        <v>200</v>
      </c>
      <c r="G11" s="143">
        <f t="shared" si="0"/>
        <v>484</v>
      </c>
      <c r="H11" s="162">
        <f>+E11*7.5%</f>
        <v>41.25</v>
      </c>
      <c r="I11" s="162">
        <f>+E11*1%</f>
        <v>5.5</v>
      </c>
      <c r="J11" s="162">
        <f>SUM(H11:I11)</f>
        <v>46.75</v>
      </c>
      <c r="K11" s="163">
        <f>+E11*7.75%</f>
        <v>42.625</v>
      </c>
      <c r="L11" s="164">
        <f t="shared" si="3"/>
        <v>561</v>
      </c>
      <c r="M11" s="164">
        <f t="shared" si="3"/>
        <v>511.5</v>
      </c>
      <c r="N11" s="164">
        <f t="shared" si="1"/>
        <v>5808</v>
      </c>
      <c r="O11" s="93">
        <f t="shared" si="2"/>
        <v>7564.5</v>
      </c>
    </row>
    <row r="12" spans="1:15" x14ac:dyDescent="0.2">
      <c r="A12" s="92">
        <v>6</v>
      </c>
      <c r="B12" s="57" t="s">
        <v>88</v>
      </c>
      <c r="C12" s="161">
        <v>1500</v>
      </c>
      <c r="D12" s="161"/>
      <c r="E12" s="161"/>
      <c r="F12" s="143">
        <v>200</v>
      </c>
      <c r="G12" s="143">
        <f t="shared" si="0"/>
        <v>1500</v>
      </c>
      <c r="H12" s="162">
        <v>75</v>
      </c>
      <c r="I12" s="162">
        <v>10</v>
      </c>
      <c r="J12" s="162">
        <f>SUM(H12:I12)</f>
        <v>85</v>
      </c>
      <c r="K12" s="163">
        <v>116.25</v>
      </c>
      <c r="L12" s="164">
        <f t="shared" si="3"/>
        <v>1020</v>
      </c>
      <c r="M12" s="164">
        <f t="shared" si="3"/>
        <v>1395</v>
      </c>
      <c r="N12" s="164">
        <f t="shared" si="1"/>
        <v>18000</v>
      </c>
      <c r="O12" s="93">
        <f t="shared" si="2"/>
        <v>22115</v>
      </c>
    </row>
    <row r="13" spans="1:15" x14ac:dyDescent="0.2">
      <c r="A13" s="165"/>
      <c r="B13" s="166"/>
      <c r="C13" s="167">
        <f>SUM(C7:C12)</f>
        <v>7537.05</v>
      </c>
      <c r="D13" s="167">
        <f>SUM(D7:D12)</f>
        <v>66</v>
      </c>
      <c r="E13" s="167">
        <f>SUM(E7:E12)</f>
        <v>550</v>
      </c>
      <c r="F13" s="167">
        <f t="shared" ref="F13:O13" si="4">SUM(F7:F12)</f>
        <v>1200</v>
      </c>
      <c r="G13" s="167">
        <f t="shared" si="4"/>
        <v>7537.05</v>
      </c>
      <c r="H13" s="167">
        <f t="shared" si="4"/>
        <v>285.23</v>
      </c>
      <c r="I13" s="167">
        <f t="shared" si="4"/>
        <v>28.03</v>
      </c>
      <c r="J13" s="167">
        <f t="shared" si="4"/>
        <v>313.26</v>
      </c>
      <c r="K13" s="167">
        <f t="shared" si="4"/>
        <v>255.98500000000001</v>
      </c>
      <c r="L13" s="167">
        <f t="shared" si="4"/>
        <v>3759.12</v>
      </c>
      <c r="M13" s="167">
        <f t="shared" si="4"/>
        <v>3071.82</v>
      </c>
      <c r="N13" s="167">
        <f t="shared" si="4"/>
        <v>90444.6</v>
      </c>
      <c r="O13" s="167">
        <f t="shared" si="4"/>
        <v>106012.59</v>
      </c>
    </row>
    <row r="14" spans="1:15" x14ac:dyDescent="0.2">
      <c r="A14" s="92"/>
      <c r="B14" s="57"/>
      <c r="C14" s="168"/>
      <c r="D14" s="168"/>
      <c r="E14" s="168"/>
      <c r="F14" s="168"/>
      <c r="G14" s="168"/>
      <c r="H14" s="169"/>
      <c r="I14" s="169"/>
      <c r="J14" s="169"/>
      <c r="K14" s="168"/>
      <c r="L14" s="169"/>
      <c r="M14" s="169"/>
      <c r="N14" s="169"/>
      <c r="O14" s="169"/>
    </row>
    <row r="15" spans="1:15" x14ac:dyDescent="0.2">
      <c r="A15" s="92">
        <v>1</v>
      </c>
      <c r="B15" s="170" t="s">
        <v>88</v>
      </c>
      <c r="C15" s="96">
        <v>880</v>
      </c>
      <c r="D15" s="96"/>
      <c r="E15" s="96"/>
      <c r="F15" s="143"/>
      <c r="G15" s="171"/>
      <c r="H15" s="172"/>
      <c r="I15" s="173"/>
      <c r="J15" s="172"/>
      <c r="K15" s="172"/>
      <c r="L15" s="164">
        <f>+K15*12</f>
        <v>0</v>
      </c>
      <c r="M15" s="164">
        <f t="shared" ref="M15:M26" si="5">+K15*12</f>
        <v>0</v>
      </c>
      <c r="N15" s="164">
        <f t="shared" ref="N15:N26" si="6">+C15*12</f>
        <v>10560</v>
      </c>
      <c r="O15" s="93">
        <f t="shared" ref="O15:O26" si="7">+F15+G15+L15+M15+N15</f>
        <v>10560</v>
      </c>
    </row>
    <row r="16" spans="1:15" x14ac:dyDescent="0.2">
      <c r="A16" s="92">
        <v>2</v>
      </c>
      <c r="B16" s="170" t="s">
        <v>88</v>
      </c>
      <c r="C16" s="96">
        <v>880</v>
      </c>
      <c r="D16" s="96"/>
      <c r="E16" s="96"/>
      <c r="F16" s="143"/>
      <c r="G16" s="171"/>
      <c r="H16" s="172"/>
      <c r="I16" s="173"/>
      <c r="J16" s="172"/>
      <c r="K16" s="172"/>
      <c r="L16" s="164">
        <f>+K16*12</f>
        <v>0</v>
      </c>
      <c r="M16" s="164">
        <f t="shared" si="5"/>
        <v>0</v>
      </c>
      <c r="N16" s="164">
        <f t="shared" si="6"/>
        <v>10560</v>
      </c>
      <c r="O16" s="93">
        <f t="shared" si="7"/>
        <v>10560</v>
      </c>
    </row>
    <row r="17" spans="1:15" x14ac:dyDescent="0.2">
      <c r="A17" s="92">
        <v>3</v>
      </c>
      <c r="B17" s="170" t="s">
        <v>88</v>
      </c>
      <c r="C17" s="96">
        <v>880</v>
      </c>
      <c r="D17" s="96"/>
      <c r="E17" s="96"/>
      <c r="F17" s="143"/>
      <c r="G17" s="171"/>
      <c r="H17" s="172">
        <v>66</v>
      </c>
      <c r="I17" s="173">
        <v>8.8000000000000007</v>
      </c>
      <c r="J17" s="172">
        <f>SUM(H17:I17)</f>
        <v>74.8</v>
      </c>
      <c r="K17" s="172">
        <v>68.2</v>
      </c>
      <c r="L17" s="164">
        <f t="shared" ref="L17:L26" si="8">+J17*12</f>
        <v>897.59999999999991</v>
      </c>
      <c r="M17" s="164">
        <f t="shared" si="5"/>
        <v>818.40000000000009</v>
      </c>
      <c r="N17" s="164">
        <f t="shared" si="6"/>
        <v>10560</v>
      </c>
      <c r="O17" s="93">
        <f t="shared" si="7"/>
        <v>12276</v>
      </c>
    </row>
    <row r="18" spans="1:15" x14ac:dyDescent="0.2">
      <c r="A18" s="92">
        <v>4</v>
      </c>
      <c r="B18" s="170" t="s">
        <v>88</v>
      </c>
      <c r="C18" s="96">
        <v>880</v>
      </c>
      <c r="D18" s="96"/>
      <c r="E18" s="96"/>
      <c r="F18" s="143"/>
      <c r="G18" s="171"/>
      <c r="H18" s="172">
        <v>66</v>
      </c>
      <c r="I18" s="173">
        <v>8.8000000000000007</v>
      </c>
      <c r="J18" s="172">
        <f t="shared" ref="J18:J26" si="9">SUM(H18:I18)</f>
        <v>74.8</v>
      </c>
      <c r="K18" s="172">
        <v>68.2</v>
      </c>
      <c r="L18" s="164">
        <f t="shared" si="8"/>
        <v>897.59999999999991</v>
      </c>
      <c r="M18" s="164">
        <f t="shared" si="5"/>
        <v>818.40000000000009</v>
      </c>
      <c r="N18" s="164">
        <f t="shared" si="6"/>
        <v>10560</v>
      </c>
      <c r="O18" s="93">
        <f t="shared" si="7"/>
        <v>12276</v>
      </c>
    </row>
    <row r="19" spans="1:15" x14ac:dyDescent="0.2">
      <c r="A19" s="92">
        <v>5</v>
      </c>
      <c r="B19" s="170" t="s">
        <v>88</v>
      </c>
      <c r="C19" s="96">
        <v>880</v>
      </c>
      <c r="D19" s="96"/>
      <c r="E19" s="96"/>
      <c r="F19" s="143"/>
      <c r="G19" s="171"/>
      <c r="H19" s="172"/>
      <c r="I19" s="173"/>
      <c r="J19" s="172">
        <f t="shared" si="9"/>
        <v>0</v>
      </c>
      <c r="K19" s="172"/>
      <c r="L19" s="164">
        <f t="shared" si="8"/>
        <v>0</v>
      </c>
      <c r="M19" s="164">
        <f t="shared" si="5"/>
        <v>0</v>
      </c>
      <c r="N19" s="164">
        <f t="shared" si="6"/>
        <v>10560</v>
      </c>
      <c r="O19" s="93">
        <f t="shared" si="7"/>
        <v>10560</v>
      </c>
    </row>
    <row r="20" spans="1:15" x14ac:dyDescent="0.2">
      <c r="A20" s="92">
        <v>6</v>
      </c>
      <c r="B20" s="170" t="s">
        <v>88</v>
      </c>
      <c r="C20" s="96">
        <v>880</v>
      </c>
      <c r="D20" s="96"/>
      <c r="E20" s="96"/>
      <c r="F20" s="143"/>
      <c r="G20" s="171"/>
      <c r="H20" s="172"/>
      <c r="I20" s="173"/>
      <c r="J20" s="172">
        <f t="shared" si="9"/>
        <v>0</v>
      </c>
      <c r="K20" s="172"/>
      <c r="L20" s="164">
        <f t="shared" si="8"/>
        <v>0</v>
      </c>
      <c r="M20" s="164">
        <f t="shared" si="5"/>
        <v>0</v>
      </c>
      <c r="N20" s="164">
        <f t="shared" si="6"/>
        <v>10560</v>
      </c>
      <c r="O20" s="93">
        <f t="shared" si="7"/>
        <v>10560</v>
      </c>
    </row>
    <row r="21" spans="1:15" x14ac:dyDescent="0.2">
      <c r="A21" s="92">
        <v>7</v>
      </c>
      <c r="B21" s="170" t="s">
        <v>88</v>
      </c>
      <c r="C21" s="96">
        <v>880</v>
      </c>
      <c r="D21" s="96"/>
      <c r="E21" s="96"/>
      <c r="F21" s="143"/>
      <c r="G21" s="171"/>
      <c r="H21" s="172">
        <v>66</v>
      </c>
      <c r="I21" s="173">
        <v>8.8000000000000007</v>
      </c>
      <c r="J21" s="172">
        <f t="shared" si="9"/>
        <v>74.8</v>
      </c>
      <c r="K21" s="172">
        <v>68.2</v>
      </c>
      <c r="L21" s="164">
        <f t="shared" si="8"/>
        <v>897.59999999999991</v>
      </c>
      <c r="M21" s="164">
        <f t="shared" si="5"/>
        <v>818.40000000000009</v>
      </c>
      <c r="N21" s="164">
        <f t="shared" si="6"/>
        <v>10560</v>
      </c>
      <c r="O21" s="93">
        <f t="shared" si="7"/>
        <v>12276</v>
      </c>
    </row>
    <row r="22" spans="1:15" x14ac:dyDescent="0.2">
      <c r="A22" s="92">
        <v>8</v>
      </c>
      <c r="B22" s="170" t="s">
        <v>88</v>
      </c>
      <c r="C22" s="96">
        <v>880</v>
      </c>
      <c r="D22" s="96"/>
      <c r="E22" s="96"/>
      <c r="F22" s="143"/>
      <c r="G22" s="171"/>
      <c r="H22" s="172">
        <v>66</v>
      </c>
      <c r="I22" s="173">
        <v>8.8000000000000007</v>
      </c>
      <c r="J22" s="172">
        <f t="shared" si="9"/>
        <v>74.8</v>
      </c>
      <c r="K22" s="172">
        <v>68.2</v>
      </c>
      <c r="L22" s="164">
        <f t="shared" si="8"/>
        <v>897.59999999999991</v>
      </c>
      <c r="M22" s="164">
        <f t="shared" si="5"/>
        <v>818.40000000000009</v>
      </c>
      <c r="N22" s="164">
        <f t="shared" si="6"/>
        <v>10560</v>
      </c>
      <c r="O22" s="93">
        <f t="shared" si="7"/>
        <v>12276</v>
      </c>
    </row>
    <row r="23" spans="1:15" x14ac:dyDescent="0.2">
      <c r="A23" s="92">
        <v>9</v>
      </c>
      <c r="B23" s="170" t="s">
        <v>88</v>
      </c>
      <c r="C23" s="96">
        <v>880</v>
      </c>
      <c r="D23" s="96"/>
      <c r="E23" s="96"/>
      <c r="F23" s="143"/>
      <c r="G23" s="171"/>
      <c r="H23" s="172">
        <v>66</v>
      </c>
      <c r="I23" s="173">
        <v>8.8000000000000007</v>
      </c>
      <c r="J23" s="172">
        <f t="shared" si="9"/>
        <v>74.8</v>
      </c>
      <c r="K23" s="172">
        <v>68.2</v>
      </c>
      <c r="L23" s="164">
        <f t="shared" si="8"/>
        <v>897.59999999999991</v>
      </c>
      <c r="M23" s="164">
        <f t="shared" si="5"/>
        <v>818.40000000000009</v>
      </c>
      <c r="N23" s="164">
        <f t="shared" si="6"/>
        <v>10560</v>
      </c>
      <c r="O23" s="93">
        <f t="shared" si="7"/>
        <v>12276</v>
      </c>
    </row>
    <row r="24" spans="1:15" x14ac:dyDescent="0.2">
      <c r="A24" s="92">
        <v>10</v>
      </c>
      <c r="B24" s="170" t="s">
        <v>88</v>
      </c>
      <c r="C24" s="96">
        <v>880</v>
      </c>
      <c r="D24" s="96"/>
      <c r="E24" s="96"/>
      <c r="F24" s="143"/>
      <c r="G24" s="171"/>
      <c r="H24" s="172">
        <v>66</v>
      </c>
      <c r="I24" s="173">
        <v>8.8000000000000007</v>
      </c>
      <c r="J24" s="172">
        <f t="shared" si="9"/>
        <v>74.8</v>
      </c>
      <c r="K24" s="172">
        <v>68.2</v>
      </c>
      <c r="L24" s="164">
        <f t="shared" si="8"/>
        <v>897.59999999999991</v>
      </c>
      <c r="M24" s="164">
        <f t="shared" si="5"/>
        <v>818.40000000000009</v>
      </c>
      <c r="N24" s="164">
        <f t="shared" si="6"/>
        <v>10560</v>
      </c>
      <c r="O24" s="93">
        <f t="shared" si="7"/>
        <v>12276</v>
      </c>
    </row>
    <row r="25" spans="1:15" x14ac:dyDescent="0.2">
      <c r="A25" s="92">
        <v>11</v>
      </c>
      <c r="B25" s="170" t="s">
        <v>88</v>
      </c>
      <c r="C25" s="96">
        <v>880</v>
      </c>
      <c r="D25" s="96"/>
      <c r="E25" s="96"/>
      <c r="F25" s="143"/>
      <c r="G25" s="171"/>
      <c r="H25" s="172">
        <v>66</v>
      </c>
      <c r="I25" s="173">
        <v>8.8000000000000007</v>
      </c>
      <c r="J25" s="172">
        <f t="shared" si="9"/>
        <v>74.8</v>
      </c>
      <c r="K25" s="172">
        <v>68.2</v>
      </c>
      <c r="L25" s="164">
        <f t="shared" si="8"/>
        <v>897.59999999999991</v>
      </c>
      <c r="M25" s="164">
        <f t="shared" si="5"/>
        <v>818.40000000000009</v>
      </c>
      <c r="N25" s="164">
        <f t="shared" si="6"/>
        <v>10560</v>
      </c>
      <c r="O25" s="93">
        <f t="shared" si="7"/>
        <v>12276</v>
      </c>
    </row>
    <row r="26" spans="1:15" ht="13.5" thickBot="1" x14ac:dyDescent="0.25">
      <c r="A26" s="92">
        <v>12</v>
      </c>
      <c r="B26" s="170" t="s">
        <v>88</v>
      </c>
      <c r="C26" s="96">
        <v>880</v>
      </c>
      <c r="D26" s="96"/>
      <c r="E26" s="96"/>
      <c r="F26" s="143"/>
      <c r="G26" s="171"/>
      <c r="H26" s="172">
        <v>66</v>
      </c>
      <c r="I26" s="173">
        <v>8.8000000000000007</v>
      </c>
      <c r="J26" s="172">
        <f t="shared" si="9"/>
        <v>74.8</v>
      </c>
      <c r="K26" s="172">
        <v>68.2</v>
      </c>
      <c r="L26" s="164">
        <f t="shared" si="8"/>
        <v>897.59999999999991</v>
      </c>
      <c r="M26" s="164">
        <f t="shared" si="5"/>
        <v>818.40000000000009</v>
      </c>
      <c r="N26" s="164">
        <f t="shared" si="6"/>
        <v>10560</v>
      </c>
      <c r="O26" s="93">
        <f t="shared" si="7"/>
        <v>12276</v>
      </c>
    </row>
    <row r="27" spans="1:15" ht="13.5" thickBot="1" x14ac:dyDescent="0.25">
      <c r="A27" s="174"/>
      <c r="B27" s="175"/>
      <c r="C27" s="176">
        <f>SUM(C15:C26)</f>
        <v>10560</v>
      </c>
      <c r="D27" s="176">
        <f>SUM(D15:D26)</f>
        <v>0</v>
      </c>
      <c r="E27" s="176">
        <f>SUM(E15:E26)</f>
        <v>0</v>
      </c>
      <c r="F27" s="176">
        <f t="shared" ref="F27:O27" si="10">SUM(F15:F26)</f>
        <v>0</v>
      </c>
      <c r="G27" s="176">
        <f t="shared" si="10"/>
        <v>0</v>
      </c>
      <c r="H27" s="176">
        <f t="shared" si="10"/>
        <v>528</v>
      </c>
      <c r="I27" s="176">
        <f t="shared" si="10"/>
        <v>70.399999999999991</v>
      </c>
      <c r="J27" s="176">
        <f t="shared" si="10"/>
        <v>598.4</v>
      </c>
      <c r="K27" s="176">
        <f t="shared" si="10"/>
        <v>545.6</v>
      </c>
      <c r="L27" s="176">
        <f t="shared" si="10"/>
        <v>7180.8000000000011</v>
      </c>
      <c r="M27" s="176">
        <f t="shared" si="10"/>
        <v>6547.2000000000007</v>
      </c>
      <c r="N27" s="176">
        <f t="shared" si="10"/>
        <v>126720</v>
      </c>
      <c r="O27" s="176">
        <f t="shared" si="10"/>
        <v>140448</v>
      </c>
    </row>
    <row r="28" spans="1:15" x14ac:dyDescent="0.2">
      <c r="A28" s="165"/>
      <c r="B28" s="166"/>
      <c r="C28" s="167">
        <f>+C13+C27</f>
        <v>18097.05</v>
      </c>
      <c r="D28" s="167">
        <f>+D13+D27</f>
        <v>66</v>
      </c>
      <c r="E28" s="167">
        <f>+E13+E27</f>
        <v>550</v>
      </c>
      <c r="F28" s="167">
        <f t="shared" ref="F28:O28" si="11">+F13+F27</f>
        <v>1200</v>
      </c>
      <c r="G28" s="167">
        <f t="shared" si="11"/>
        <v>7537.05</v>
      </c>
      <c r="H28" s="167">
        <f t="shared" si="11"/>
        <v>813.23</v>
      </c>
      <c r="I28" s="167">
        <f t="shared" si="11"/>
        <v>98.429999999999993</v>
      </c>
      <c r="J28" s="167">
        <f t="shared" si="11"/>
        <v>911.66</v>
      </c>
      <c r="K28" s="167">
        <f t="shared" si="11"/>
        <v>801.58500000000004</v>
      </c>
      <c r="L28" s="167">
        <f t="shared" si="11"/>
        <v>10939.920000000002</v>
      </c>
      <c r="M28" s="167">
        <f t="shared" si="11"/>
        <v>9619.02</v>
      </c>
      <c r="N28" s="167">
        <f t="shared" si="11"/>
        <v>217164.6</v>
      </c>
      <c r="O28" s="167">
        <f t="shared" si="11"/>
        <v>246460.59</v>
      </c>
    </row>
    <row r="29" spans="1:15" x14ac:dyDescent="0.2">
      <c r="A29" s="92"/>
      <c r="B29" s="57"/>
      <c r="C29" s="161"/>
      <c r="D29" s="161"/>
      <c r="E29" s="161"/>
      <c r="F29" s="143"/>
      <c r="G29" s="143">
        <f t="shared" si="0"/>
        <v>0</v>
      </c>
      <c r="H29" s="162"/>
      <c r="I29" s="162"/>
      <c r="J29" s="162"/>
      <c r="K29" s="163"/>
      <c r="L29" s="164"/>
      <c r="M29" s="164"/>
      <c r="N29" s="164"/>
      <c r="O29" s="93"/>
    </row>
    <row r="30" spans="1:15" x14ac:dyDescent="0.2">
      <c r="A30" s="92">
        <v>7</v>
      </c>
      <c r="B30" s="57" t="s">
        <v>369</v>
      </c>
      <c r="C30" s="161">
        <v>1000</v>
      </c>
      <c r="D30" s="161"/>
      <c r="E30" s="161"/>
      <c r="F30" s="143">
        <v>200</v>
      </c>
      <c r="G30" s="143">
        <f t="shared" si="0"/>
        <v>1000</v>
      </c>
      <c r="H30" s="162">
        <v>75</v>
      </c>
      <c r="I30" s="162">
        <v>10</v>
      </c>
      <c r="J30" s="162">
        <f t="shared" ref="J30:J38" si="12">SUM(H30:I30)</f>
        <v>85</v>
      </c>
      <c r="K30" s="163">
        <v>77.5</v>
      </c>
      <c r="L30" s="164">
        <f t="shared" ref="L30:M38" si="13">+J30*12</f>
        <v>1020</v>
      </c>
      <c r="M30" s="164">
        <f t="shared" si="13"/>
        <v>930</v>
      </c>
      <c r="N30" s="164">
        <f t="shared" ref="N30:N38" si="14">+C30*12</f>
        <v>12000</v>
      </c>
      <c r="O30" s="93">
        <f t="shared" ref="O30:O38" si="15">+F30+G30+L30+M30+N30</f>
        <v>15150</v>
      </c>
    </row>
    <row r="31" spans="1:15" x14ac:dyDescent="0.2">
      <c r="A31" s="92">
        <v>8</v>
      </c>
      <c r="B31" s="57" t="s">
        <v>369</v>
      </c>
      <c r="C31" s="161">
        <v>825</v>
      </c>
      <c r="D31" s="161"/>
      <c r="E31" s="161"/>
      <c r="F31" s="143">
        <v>200</v>
      </c>
      <c r="G31" s="143">
        <f t="shared" si="0"/>
        <v>825</v>
      </c>
      <c r="H31" s="162">
        <v>61.88</v>
      </c>
      <c r="I31" s="162">
        <v>8.25</v>
      </c>
      <c r="J31" s="162">
        <f t="shared" si="12"/>
        <v>70.13</v>
      </c>
      <c r="K31" s="163">
        <v>63.94</v>
      </c>
      <c r="L31" s="164">
        <f t="shared" si="13"/>
        <v>841.56</v>
      </c>
      <c r="M31" s="164">
        <f t="shared" si="13"/>
        <v>767.28</v>
      </c>
      <c r="N31" s="164">
        <f t="shared" si="14"/>
        <v>9900</v>
      </c>
      <c r="O31" s="93">
        <f t="shared" si="15"/>
        <v>12533.84</v>
      </c>
    </row>
    <row r="32" spans="1:15" x14ac:dyDescent="0.2">
      <c r="A32" s="92">
        <v>9</v>
      </c>
      <c r="B32" s="57" t="s">
        <v>369</v>
      </c>
      <c r="C32" s="161">
        <v>310</v>
      </c>
      <c r="D32" s="191">
        <v>90</v>
      </c>
      <c r="E32" s="161">
        <f>SUM(C32:D32)</f>
        <v>400</v>
      </c>
      <c r="F32" s="143">
        <v>200</v>
      </c>
      <c r="G32" s="143">
        <f t="shared" si="0"/>
        <v>310</v>
      </c>
      <c r="H32" s="162">
        <f>+E32*7.5%</f>
        <v>30</v>
      </c>
      <c r="I32" s="162">
        <f>+E32*1%</f>
        <v>4</v>
      </c>
      <c r="J32" s="162">
        <f t="shared" si="12"/>
        <v>34</v>
      </c>
      <c r="K32" s="163">
        <f>+E32*7.75%</f>
        <v>31</v>
      </c>
      <c r="L32" s="164">
        <f t="shared" si="13"/>
        <v>408</v>
      </c>
      <c r="M32" s="164">
        <f t="shared" si="13"/>
        <v>372</v>
      </c>
      <c r="N32" s="164">
        <f t="shared" si="14"/>
        <v>3720</v>
      </c>
      <c r="O32" s="93">
        <f t="shared" si="15"/>
        <v>5010</v>
      </c>
    </row>
    <row r="33" spans="1:15" x14ac:dyDescent="0.2">
      <c r="A33" s="92">
        <v>10</v>
      </c>
      <c r="B33" s="57" t="s">
        <v>369</v>
      </c>
      <c r="C33" s="161">
        <v>770</v>
      </c>
      <c r="D33" s="161"/>
      <c r="E33" s="161"/>
      <c r="F33" s="143">
        <v>200</v>
      </c>
      <c r="G33" s="143">
        <f t="shared" si="0"/>
        <v>770</v>
      </c>
      <c r="H33" s="162">
        <v>57.75</v>
      </c>
      <c r="I33" s="162">
        <v>7.7</v>
      </c>
      <c r="J33" s="162">
        <f t="shared" si="12"/>
        <v>65.45</v>
      </c>
      <c r="K33" s="163">
        <v>59.68</v>
      </c>
      <c r="L33" s="164">
        <f t="shared" si="13"/>
        <v>785.40000000000009</v>
      </c>
      <c r="M33" s="164">
        <f t="shared" si="13"/>
        <v>716.16</v>
      </c>
      <c r="N33" s="164">
        <f t="shared" si="14"/>
        <v>9240</v>
      </c>
      <c r="O33" s="93">
        <f t="shared" si="15"/>
        <v>11711.56</v>
      </c>
    </row>
    <row r="34" spans="1:15" x14ac:dyDescent="0.2">
      <c r="A34" s="92">
        <v>11</v>
      </c>
      <c r="B34" s="57" t="s">
        <v>369</v>
      </c>
      <c r="C34" s="161">
        <v>400</v>
      </c>
      <c r="D34" s="161"/>
      <c r="E34" s="161"/>
      <c r="F34" s="143">
        <v>200</v>
      </c>
      <c r="G34" s="143">
        <f t="shared" si="0"/>
        <v>400</v>
      </c>
      <c r="H34" s="162">
        <v>30</v>
      </c>
      <c r="I34" s="162">
        <v>4</v>
      </c>
      <c r="J34" s="162">
        <f t="shared" si="12"/>
        <v>34</v>
      </c>
      <c r="K34" s="163">
        <v>31</v>
      </c>
      <c r="L34" s="164">
        <f t="shared" si="13"/>
        <v>408</v>
      </c>
      <c r="M34" s="164">
        <f t="shared" si="13"/>
        <v>372</v>
      </c>
      <c r="N34" s="164">
        <f t="shared" si="14"/>
        <v>4800</v>
      </c>
      <c r="O34" s="93">
        <f t="shared" si="15"/>
        <v>6180</v>
      </c>
    </row>
    <row r="35" spans="1:15" x14ac:dyDescent="0.2">
      <c r="A35" s="92">
        <v>12</v>
      </c>
      <c r="B35" s="57" t="s">
        <v>369</v>
      </c>
      <c r="C35" s="161">
        <v>400</v>
      </c>
      <c r="D35" s="161"/>
      <c r="E35" s="161"/>
      <c r="F35" s="143">
        <v>200</v>
      </c>
      <c r="G35" s="143">
        <f t="shared" si="0"/>
        <v>400</v>
      </c>
      <c r="H35" s="162">
        <v>30</v>
      </c>
      <c r="I35" s="162">
        <v>4</v>
      </c>
      <c r="J35" s="162">
        <f t="shared" si="12"/>
        <v>34</v>
      </c>
      <c r="K35" s="163">
        <v>31</v>
      </c>
      <c r="L35" s="164">
        <f t="shared" si="13"/>
        <v>408</v>
      </c>
      <c r="M35" s="164">
        <f t="shared" si="13"/>
        <v>372</v>
      </c>
      <c r="N35" s="164">
        <f t="shared" si="14"/>
        <v>4800</v>
      </c>
      <c r="O35" s="93">
        <f t="shared" si="15"/>
        <v>6180</v>
      </c>
    </row>
    <row r="36" spans="1:15" x14ac:dyDescent="0.2">
      <c r="A36" s="92">
        <v>13</v>
      </c>
      <c r="B36" s="57" t="s">
        <v>369</v>
      </c>
      <c r="C36" s="161">
        <v>500</v>
      </c>
      <c r="D36" s="161"/>
      <c r="E36" s="161"/>
      <c r="F36" s="143">
        <v>200</v>
      </c>
      <c r="G36" s="143">
        <f t="shared" si="0"/>
        <v>500</v>
      </c>
      <c r="H36" s="162">
        <v>37.5</v>
      </c>
      <c r="I36" s="162">
        <v>5</v>
      </c>
      <c r="J36" s="162">
        <f t="shared" si="12"/>
        <v>42.5</v>
      </c>
      <c r="K36" s="163">
        <v>38.75</v>
      </c>
      <c r="L36" s="164">
        <f t="shared" si="13"/>
        <v>510</v>
      </c>
      <c r="M36" s="164">
        <f t="shared" si="13"/>
        <v>465</v>
      </c>
      <c r="N36" s="164">
        <f t="shared" si="14"/>
        <v>6000</v>
      </c>
      <c r="O36" s="93">
        <f t="shared" si="15"/>
        <v>7675</v>
      </c>
    </row>
    <row r="37" spans="1:15" x14ac:dyDescent="0.2">
      <c r="A37" s="92">
        <v>14</v>
      </c>
      <c r="B37" s="57" t="s">
        <v>369</v>
      </c>
      <c r="C37" s="161">
        <v>1034</v>
      </c>
      <c r="D37" s="161"/>
      <c r="E37" s="161"/>
      <c r="F37" s="143">
        <v>200</v>
      </c>
      <c r="G37" s="143">
        <f t="shared" si="0"/>
        <v>1034</v>
      </c>
      <c r="H37" s="162">
        <v>75</v>
      </c>
      <c r="I37" s="162">
        <v>10.34</v>
      </c>
      <c r="J37" s="162">
        <f t="shared" si="12"/>
        <v>85.34</v>
      </c>
      <c r="K37" s="163">
        <v>77.5</v>
      </c>
      <c r="L37" s="164">
        <f t="shared" si="13"/>
        <v>1024.08</v>
      </c>
      <c r="M37" s="164">
        <f t="shared" si="13"/>
        <v>930</v>
      </c>
      <c r="N37" s="164">
        <f t="shared" si="14"/>
        <v>12408</v>
      </c>
      <c r="O37" s="93">
        <f t="shared" si="15"/>
        <v>15596.08</v>
      </c>
    </row>
    <row r="38" spans="1:15" x14ac:dyDescent="0.2">
      <c r="A38" s="92">
        <v>15</v>
      </c>
      <c r="B38" s="57" t="s">
        <v>369</v>
      </c>
      <c r="C38" s="161">
        <v>310</v>
      </c>
      <c r="D38" s="191">
        <v>65</v>
      </c>
      <c r="E38" s="161">
        <f>SUM(C38:D38)</f>
        <v>375</v>
      </c>
      <c r="F38" s="143">
        <v>200</v>
      </c>
      <c r="G38" s="143">
        <f t="shared" si="0"/>
        <v>310</v>
      </c>
      <c r="H38" s="162">
        <f>+E38*7.5%</f>
        <v>28.125</v>
      </c>
      <c r="I38" s="162">
        <f>+E38*1%</f>
        <v>3.75</v>
      </c>
      <c r="J38" s="193">
        <f t="shared" si="12"/>
        <v>31.875</v>
      </c>
      <c r="K38" s="163">
        <f>+E38*7.75%</f>
        <v>29.0625</v>
      </c>
      <c r="L38" s="164">
        <f t="shared" si="13"/>
        <v>382.5</v>
      </c>
      <c r="M38" s="164">
        <f t="shared" si="13"/>
        <v>348.75</v>
      </c>
      <c r="N38" s="164">
        <f t="shared" si="14"/>
        <v>3720</v>
      </c>
      <c r="O38" s="93">
        <f t="shared" si="15"/>
        <v>4961.25</v>
      </c>
    </row>
    <row r="39" spans="1:15" x14ac:dyDescent="0.2">
      <c r="A39" s="165"/>
      <c r="B39" s="166"/>
      <c r="C39" s="167">
        <f>SUM(C30:C38)</f>
        <v>5549</v>
      </c>
      <c r="D39" s="167">
        <f>SUM(D30:D38)</f>
        <v>155</v>
      </c>
      <c r="E39" s="167">
        <f>SUM(E30:E38)</f>
        <v>775</v>
      </c>
      <c r="F39" s="167">
        <f t="shared" ref="F39:O39" si="16">SUM(F30:F38)</f>
        <v>1800</v>
      </c>
      <c r="G39" s="167">
        <f t="shared" si="16"/>
        <v>5549</v>
      </c>
      <c r="H39" s="167">
        <f t="shared" si="16"/>
        <v>425.255</v>
      </c>
      <c r="I39" s="167">
        <f t="shared" si="16"/>
        <v>57.040000000000006</v>
      </c>
      <c r="J39" s="167">
        <f t="shared" si="16"/>
        <v>482.29499999999996</v>
      </c>
      <c r="K39" s="167">
        <f t="shared" si="16"/>
        <v>439.4325</v>
      </c>
      <c r="L39" s="167">
        <f t="shared" si="16"/>
        <v>5787.54</v>
      </c>
      <c r="M39" s="167">
        <f t="shared" si="16"/>
        <v>5273.19</v>
      </c>
      <c r="N39" s="167">
        <f t="shared" si="16"/>
        <v>66588</v>
      </c>
      <c r="O39" s="167">
        <f t="shared" si="16"/>
        <v>84997.73</v>
      </c>
    </row>
    <row r="40" spans="1:15" x14ac:dyDescent="0.2">
      <c r="A40" s="92"/>
      <c r="B40" s="57"/>
      <c r="C40" s="161"/>
      <c r="D40" s="161"/>
      <c r="E40" s="161"/>
      <c r="F40" s="143"/>
      <c r="G40" s="143"/>
      <c r="H40" s="162"/>
      <c r="I40" s="162"/>
      <c r="J40" s="162"/>
      <c r="K40" s="163"/>
      <c r="L40" s="164"/>
      <c r="M40" s="164"/>
      <c r="N40" s="164"/>
      <c r="O40" s="93"/>
    </row>
    <row r="41" spans="1:15" x14ac:dyDescent="0.2">
      <c r="A41" s="92">
        <v>16</v>
      </c>
      <c r="B41" s="148" t="s">
        <v>221</v>
      </c>
      <c r="C41" s="161">
        <v>825</v>
      </c>
      <c r="D41" s="161"/>
      <c r="E41" s="161"/>
      <c r="F41" s="143">
        <v>200</v>
      </c>
      <c r="G41" s="143">
        <f t="shared" si="0"/>
        <v>825</v>
      </c>
      <c r="H41" s="162">
        <v>61.88</v>
      </c>
      <c r="I41" s="162">
        <v>8.25</v>
      </c>
      <c r="J41" s="162">
        <f t="shared" ref="J41:J84" si="17">SUM(H41:I41)</f>
        <v>70.13</v>
      </c>
      <c r="K41" s="163">
        <v>63.94</v>
      </c>
      <c r="L41" s="164">
        <f t="shared" ref="L41:M84" si="18">+J41*12</f>
        <v>841.56</v>
      </c>
      <c r="M41" s="164">
        <f t="shared" si="18"/>
        <v>767.28</v>
      </c>
      <c r="N41" s="164">
        <f t="shared" ref="N41:N84" si="19">+C41*12</f>
        <v>9900</v>
      </c>
      <c r="O41" s="93">
        <f t="shared" ref="O41:O84" si="20">+F41+G41+L41+M41+N41</f>
        <v>12533.84</v>
      </c>
    </row>
    <row r="42" spans="1:15" x14ac:dyDescent="0.2">
      <c r="A42" s="92">
        <v>17</v>
      </c>
      <c r="B42" s="57" t="s">
        <v>221</v>
      </c>
      <c r="C42" s="161">
        <v>687.5</v>
      </c>
      <c r="D42" s="161"/>
      <c r="E42" s="161"/>
      <c r="F42" s="143">
        <v>200</v>
      </c>
      <c r="G42" s="143">
        <f t="shared" si="0"/>
        <v>687.5</v>
      </c>
      <c r="H42" s="162">
        <v>51.56</v>
      </c>
      <c r="I42" s="162">
        <v>6.88</v>
      </c>
      <c r="J42" s="162">
        <f t="shared" si="17"/>
        <v>58.440000000000005</v>
      </c>
      <c r="K42" s="163">
        <v>53.28</v>
      </c>
      <c r="L42" s="164">
        <f t="shared" si="18"/>
        <v>701.28000000000009</v>
      </c>
      <c r="M42" s="164">
        <f t="shared" si="18"/>
        <v>639.36</v>
      </c>
      <c r="N42" s="164">
        <f t="shared" si="19"/>
        <v>8250</v>
      </c>
      <c r="O42" s="93">
        <f t="shared" si="20"/>
        <v>10478.14</v>
      </c>
    </row>
    <row r="43" spans="1:15" x14ac:dyDescent="0.2">
      <c r="A43" s="92">
        <v>18</v>
      </c>
      <c r="B43" s="57" t="s">
        <v>221</v>
      </c>
      <c r="C43" s="161">
        <v>385</v>
      </c>
      <c r="D43" s="191">
        <v>15</v>
      </c>
      <c r="E43" s="161">
        <f>SUM(C43:D43)</f>
        <v>400</v>
      </c>
      <c r="F43" s="143">
        <v>200</v>
      </c>
      <c r="G43" s="143">
        <f t="shared" si="0"/>
        <v>385</v>
      </c>
      <c r="H43" s="162">
        <f>+E43*7.5%</f>
        <v>30</v>
      </c>
      <c r="I43" s="162">
        <f>+E43*1%</f>
        <v>4</v>
      </c>
      <c r="J43" s="193">
        <f t="shared" si="17"/>
        <v>34</v>
      </c>
      <c r="K43" s="163">
        <f>+E43*7.75%</f>
        <v>31</v>
      </c>
      <c r="L43" s="164">
        <f t="shared" si="18"/>
        <v>408</v>
      </c>
      <c r="M43" s="164">
        <f t="shared" si="18"/>
        <v>372</v>
      </c>
      <c r="N43" s="164">
        <f t="shared" si="19"/>
        <v>4620</v>
      </c>
      <c r="O43" s="93">
        <f t="shared" si="20"/>
        <v>5985</v>
      </c>
    </row>
    <row r="44" spans="1:15" x14ac:dyDescent="0.2">
      <c r="A44" s="92">
        <v>19</v>
      </c>
      <c r="B44" s="57" t="s">
        <v>221</v>
      </c>
      <c r="C44" s="161">
        <v>310</v>
      </c>
      <c r="D44" s="191">
        <v>90</v>
      </c>
      <c r="E44" s="161">
        <f>SUM(C44:D44)</f>
        <v>400</v>
      </c>
      <c r="F44" s="143">
        <v>200</v>
      </c>
      <c r="G44" s="143">
        <f t="shared" si="0"/>
        <v>310</v>
      </c>
      <c r="H44" s="162">
        <f>+E44*7.5%</f>
        <v>30</v>
      </c>
      <c r="I44" s="162">
        <f>+E44*1%</f>
        <v>4</v>
      </c>
      <c r="J44" s="193">
        <f t="shared" si="17"/>
        <v>34</v>
      </c>
      <c r="K44" s="163">
        <f>+E44*7.75%</f>
        <v>31</v>
      </c>
      <c r="L44" s="164">
        <f t="shared" si="18"/>
        <v>408</v>
      </c>
      <c r="M44" s="164">
        <f t="shared" si="18"/>
        <v>372</v>
      </c>
      <c r="N44" s="164">
        <f t="shared" si="19"/>
        <v>3720</v>
      </c>
      <c r="O44" s="93">
        <f t="shared" si="20"/>
        <v>5010</v>
      </c>
    </row>
    <row r="45" spans="1:15" x14ac:dyDescent="0.2">
      <c r="A45" s="92">
        <v>20</v>
      </c>
      <c r="B45" s="57" t="s">
        <v>221</v>
      </c>
      <c r="C45" s="161">
        <v>385</v>
      </c>
      <c r="D45" s="191">
        <v>15</v>
      </c>
      <c r="E45" s="161">
        <f>SUM(C45:D45)</f>
        <v>400</v>
      </c>
      <c r="F45" s="143">
        <v>200</v>
      </c>
      <c r="G45" s="143">
        <f t="shared" si="0"/>
        <v>385</v>
      </c>
      <c r="H45" s="162">
        <f>+E45*7.5%</f>
        <v>30</v>
      </c>
      <c r="I45" s="162">
        <f>+E45*1%</f>
        <v>4</v>
      </c>
      <c r="J45" s="193">
        <f t="shared" si="17"/>
        <v>34</v>
      </c>
      <c r="K45" s="163">
        <f>+E45*7.75%</f>
        <v>31</v>
      </c>
      <c r="L45" s="164">
        <f t="shared" si="18"/>
        <v>408</v>
      </c>
      <c r="M45" s="164">
        <f t="shared" si="18"/>
        <v>372</v>
      </c>
      <c r="N45" s="164">
        <f t="shared" si="19"/>
        <v>4620</v>
      </c>
      <c r="O45" s="93">
        <f t="shared" si="20"/>
        <v>5985</v>
      </c>
    </row>
    <row r="46" spans="1:15" x14ac:dyDescent="0.2">
      <c r="A46" s="92">
        <v>21</v>
      </c>
      <c r="B46" s="57" t="s">
        <v>221</v>
      </c>
      <c r="C46" s="161">
        <v>449.19</v>
      </c>
      <c r="D46" s="161"/>
      <c r="E46" s="161"/>
      <c r="F46" s="143">
        <v>200</v>
      </c>
      <c r="G46" s="143">
        <f t="shared" si="0"/>
        <v>449.19</v>
      </c>
      <c r="H46" s="162">
        <v>33.69</v>
      </c>
      <c r="I46" s="162">
        <v>4.49</v>
      </c>
      <c r="J46" s="162">
        <f t="shared" si="17"/>
        <v>38.18</v>
      </c>
      <c r="K46" s="163">
        <v>34.81</v>
      </c>
      <c r="L46" s="164">
        <f t="shared" si="18"/>
        <v>458.15999999999997</v>
      </c>
      <c r="M46" s="164">
        <f t="shared" si="18"/>
        <v>417.72</v>
      </c>
      <c r="N46" s="164">
        <f t="shared" si="19"/>
        <v>5390.28</v>
      </c>
      <c r="O46" s="93">
        <f t="shared" si="20"/>
        <v>6915.3499999999995</v>
      </c>
    </row>
    <row r="47" spans="1:15" x14ac:dyDescent="0.2">
      <c r="A47" s="92">
        <v>22</v>
      </c>
      <c r="B47" s="57" t="s">
        <v>221</v>
      </c>
      <c r="C47" s="161">
        <v>936</v>
      </c>
      <c r="D47" s="161"/>
      <c r="E47" s="161"/>
      <c r="F47" s="143">
        <v>200</v>
      </c>
      <c r="G47" s="143">
        <f t="shared" si="0"/>
        <v>936</v>
      </c>
      <c r="H47" s="162">
        <v>70.2</v>
      </c>
      <c r="I47" s="162">
        <v>9.36</v>
      </c>
      <c r="J47" s="162">
        <f t="shared" si="17"/>
        <v>79.56</v>
      </c>
      <c r="K47" s="163">
        <v>72.540000000000006</v>
      </c>
      <c r="L47" s="164">
        <f t="shared" si="18"/>
        <v>954.72</v>
      </c>
      <c r="M47" s="164">
        <f t="shared" si="18"/>
        <v>870.48</v>
      </c>
      <c r="N47" s="164">
        <f t="shared" si="19"/>
        <v>11232</v>
      </c>
      <c r="O47" s="93">
        <f t="shared" si="20"/>
        <v>14193.2</v>
      </c>
    </row>
    <row r="48" spans="1:15" x14ac:dyDescent="0.2">
      <c r="A48" s="92">
        <v>23</v>
      </c>
      <c r="B48" s="57" t="s">
        <v>221</v>
      </c>
      <c r="C48" s="161">
        <v>343.98</v>
      </c>
      <c r="D48" s="191">
        <v>56.02</v>
      </c>
      <c r="E48" s="161">
        <f>SUM(C48:D48)</f>
        <v>400</v>
      </c>
      <c r="F48" s="143">
        <v>200</v>
      </c>
      <c r="G48" s="143">
        <f t="shared" si="0"/>
        <v>343.98</v>
      </c>
      <c r="H48" s="162">
        <f>+E48*7.5%</f>
        <v>30</v>
      </c>
      <c r="I48" s="162">
        <f>+E48*1%</f>
        <v>4</v>
      </c>
      <c r="J48" s="162">
        <f t="shared" si="17"/>
        <v>34</v>
      </c>
      <c r="K48" s="163">
        <f>+E48*7.75%</f>
        <v>31</v>
      </c>
      <c r="L48" s="164">
        <f t="shared" si="18"/>
        <v>408</v>
      </c>
      <c r="M48" s="164">
        <f t="shared" si="18"/>
        <v>372</v>
      </c>
      <c r="N48" s="164">
        <f t="shared" si="19"/>
        <v>4127.76</v>
      </c>
      <c r="O48" s="93">
        <f t="shared" si="20"/>
        <v>5451.74</v>
      </c>
    </row>
    <row r="49" spans="1:15" x14ac:dyDescent="0.2">
      <c r="A49" s="92">
        <v>24</v>
      </c>
      <c r="B49" s="57" t="s">
        <v>221</v>
      </c>
      <c r="C49" s="161">
        <v>417.1</v>
      </c>
      <c r="D49" s="161"/>
      <c r="E49" s="161"/>
      <c r="F49" s="143">
        <v>200</v>
      </c>
      <c r="G49" s="143">
        <f t="shared" si="0"/>
        <v>417.1</v>
      </c>
      <c r="H49" s="162">
        <v>31.28</v>
      </c>
      <c r="I49" s="162">
        <v>4.17</v>
      </c>
      <c r="J49" s="162">
        <f t="shared" si="17"/>
        <v>35.450000000000003</v>
      </c>
      <c r="K49" s="163">
        <v>32.33</v>
      </c>
      <c r="L49" s="164">
        <f t="shared" si="18"/>
        <v>425.40000000000003</v>
      </c>
      <c r="M49" s="164">
        <f t="shared" si="18"/>
        <v>387.96</v>
      </c>
      <c r="N49" s="164">
        <f t="shared" si="19"/>
        <v>5005.2000000000007</v>
      </c>
      <c r="O49" s="93">
        <f t="shared" si="20"/>
        <v>6435.6600000000008</v>
      </c>
    </row>
    <row r="50" spans="1:15" x14ac:dyDescent="0.2">
      <c r="A50" s="92">
        <v>25</v>
      </c>
      <c r="B50" s="57" t="s">
        <v>221</v>
      </c>
      <c r="C50" s="161">
        <v>687.5</v>
      </c>
      <c r="D50" s="161"/>
      <c r="E50" s="161"/>
      <c r="F50" s="143">
        <v>200</v>
      </c>
      <c r="G50" s="143">
        <f t="shared" si="0"/>
        <v>687.5</v>
      </c>
      <c r="H50" s="162">
        <v>51.56</v>
      </c>
      <c r="I50" s="162">
        <v>6.88</v>
      </c>
      <c r="J50" s="162">
        <f t="shared" si="17"/>
        <v>58.440000000000005</v>
      </c>
      <c r="K50" s="163">
        <v>53.28</v>
      </c>
      <c r="L50" s="164">
        <f t="shared" si="18"/>
        <v>701.28000000000009</v>
      </c>
      <c r="M50" s="164">
        <f t="shared" si="18"/>
        <v>639.36</v>
      </c>
      <c r="N50" s="164">
        <f t="shared" si="19"/>
        <v>8250</v>
      </c>
      <c r="O50" s="93">
        <f t="shared" si="20"/>
        <v>10478.14</v>
      </c>
    </row>
    <row r="51" spans="1:15" x14ac:dyDescent="0.2">
      <c r="A51" s="92">
        <v>26</v>
      </c>
      <c r="B51" s="57" t="s">
        <v>221</v>
      </c>
      <c r="C51" s="161">
        <v>333.33</v>
      </c>
      <c r="D51" s="191">
        <v>66.67</v>
      </c>
      <c r="E51" s="161">
        <f>SUM(C51:D51)</f>
        <v>400</v>
      </c>
      <c r="F51" s="143">
        <v>200</v>
      </c>
      <c r="G51" s="143">
        <f t="shared" si="0"/>
        <v>333.33</v>
      </c>
      <c r="H51" s="162">
        <f>+E51*7.5%</f>
        <v>30</v>
      </c>
      <c r="I51" s="162">
        <f>+E51*1%</f>
        <v>4</v>
      </c>
      <c r="J51" s="162">
        <f t="shared" si="17"/>
        <v>34</v>
      </c>
      <c r="K51" s="163">
        <f>+E51*7.75%</f>
        <v>31</v>
      </c>
      <c r="L51" s="164">
        <f t="shared" si="18"/>
        <v>408</v>
      </c>
      <c r="M51" s="164">
        <f t="shared" si="18"/>
        <v>372</v>
      </c>
      <c r="N51" s="164">
        <f t="shared" si="19"/>
        <v>3999.96</v>
      </c>
      <c r="O51" s="93">
        <f t="shared" si="20"/>
        <v>5313.29</v>
      </c>
    </row>
    <row r="52" spans="1:15" x14ac:dyDescent="0.2">
      <c r="A52" s="92">
        <v>27</v>
      </c>
      <c r="B52" s="57" t="s">
        <v>221</v>
      </c>
      <c r="C52" s="161">
        <v>483.62</v>
      </c>
      <c r="D52" s="161"/>
      <c r="E52" s="161"/>
      <c r="F52" s="143">
        <v>200</v>
      </c>
      <c r="G52" s="143">
        <f t="shared" si="0"/>
        <v>483.62</v>
      </c>
      <c r="H52" s="162">
        <v>36.270000000000003</v>
      </c>
      <c r="I52" s="162">
        <v>4.84</v>
      </c>
      <c r="J52" s="162">
        <f t="shared" si="17"/>
        <v>41.11</v>
      </c>
      <c r="K52" s="163">
        <v>37.479999999999997</v>
      </c>
      <c r="L52" s="164">
        <f t="shared" si="18"/>
        <v>493.32</v>
      </c>
      <c r="M52" s="164">
        <f t="shared" si="18"/>
        <v>449.76</v>
      </c>
      <c r="N52" s="164">
        <f t="shared" si="19"/>
        <v>5803.4400000000005</v>
      </c>
      <c r="O52" s="93">
        <f t="shared" si="20"/>
        <v>7430.14</v>
      </c>
    </row>
    <row r="53" spans="1:15" x14ac:dyDescent="0.2">
      <c r="A53" s="92">
        <v>28</v>
      </c>
      <c r="B53" s="57" t="s">
        <v>221</v>
      </c>
      <c r="C53" s="161">
        <v>330</v>
      </c>
      <c r="D53" s="191">
        <v>30</v>
      </c>
      <c r="E53" s="161">
        <f>SUM(C53:D53)</f>
        <v>360</v>
      </c>
      <c r="F53" s="143">
        <v>200</v>
      </c>
      <c r="G53" s="143">
        <f t="shared" si="0"/>
        <v>330</v>
      </c>
      <c r="H53" s="162">
        <f>+E53*7.5%</f>
        <v>27</v>
      </c>
      <c r="I53" s="162">
        <f>+E53*1%</f>
        <v>3.6</v>
      </c>
      <c r="J53" s="162">
        <f t="shared" si="17"/>
        <v>30.6</v>
      </c>
      <c r="K53" s="163">
        <f>+E53*7.75%</f>
        <v>27.9</v>
      </c>
      <c r="L53" s="164">
        <f t="shared" si="18"/>
        <v>367.20000000000005</v>
      </c>
      <c r="M53" s="164">
        <f t="shared" si="18"/>
        <v>334.79999999999995</v>
      </c>
      <c r="N53" s="164">
        <f t="shared" si="19"/>
        <v>3960</v>
      </c>
      <c r="O53" s="93">
        <f t="shared" si="20"/>
        <v>5192</v>
      </c>
    </row>
    <row r="54" spans="1:15" x14ac:dyDescent="0.2">
      <c r="A54" s="92">
        <v>29</v>
      </c>
      <c r="B54" s="57" t="s">
        <v>221</v>
      </c>
      <c r="C54" s="161">
        <v>700</v>
      </c>
      <c r="D54" s="161"/>
      <c r="E54" s="161"/>
      <c r="F54" s="143">
        <v>200</v>
      </c>
      <c r="G54" s="143">
        <f t="shared" si="0"/>
        <v>700</v>
      </c>
      <c r="H54" s="162">
        <v>52.5</v>
      </c>
      <c r="I54" s="162">
        <v>7</v>
      </c>
      <c r="J54" s="162">
        <f t="shared" si="17"/>
        <v>59.5</v>
      </c>
      <c r="K54" s="163">
        <v>54.25</v>
      </c>
      <c r="L54" s="164">
        <f t="shared" si="18"/>
        <v>714</v>
      </c>
      <c r="M54" s="164">
        <f t="shared" si="18"/>
        <v>651</v>
      </c>
      <c r="N54" s="164">
        <f t="shared" si="19"/>
        <v>8400</v>
      </c>
      <c r="O54" s="93">
        <f t="shared" si="20"/>
        <v>10665</v>
      </c>
    </row>
    <row r="55" spans="1:15" x14ac:dyDescent="0.2">
      <c r="A55" s="92">
        <v>30</v>
      </c>
      <c r="B55" s="57" t="s">
        <v>221</v>
      </c>
      <c r="C55" s="161">
        <v>550</v>
      </c>
      <c r="D55" s="161"/>
      <c r="E55" s="161"/>
      <c r="F55" s="143">
        <v>200</v>
      </c>
      <c r="G55" s="143">
        <f t="shared" si="0"/>
        <v>550</v>
      </c>
      <c r="H55" s="162">
        <v>41.25</v>
      </c>
      <c r="I55" s="162">
        <v>5.5</v>
      </c>
      <c r="J55" s="162">
        <f t="shared" si="17"/>
        <v>46.75</v>
      </c>
      <c r="K55" s="163">
        <v>42.63</v>
      </c>
      <c r="L55" s="164">
        <f t="shared" si="18"/>
        <v>561</v>
      </c>
      <c r="M55" s="164">
        <f t="shared" si="18"/>
        <v>511.56000000000006</v>
      </c>
      <c r="N55" s="164">
        <f t="shared" si="19"/>
        <v>6600</v>
      </c>
      <c r="O55" s="93">
        <f t="shared" si="20"/>
        <v>8422.56</v>
      </c>
    </row>
    <row r="56" spans="1:15" x14ac:dyDescent="0.2">
      <c r="A56" s="92">
        <v>31</v>
      </c>
      <c r="B56" s="57" t="s">
        <v>221</v>
      </c>
      <c r="C56" s="161">
        <v>594</v>
      </c>
      <c r="D56" s="161"/>
      <c r="E56" s="161"/>
      <c r="F56" s="143">
        <v>200</v>
      </c>
      <c r="G56" s="143">
        <f t="shared" si="0"/>
        <v>594</v>
      </c>
      <c r="H56" s="162">
        <v>44.55</v>
      </c>
      <c r="I56" s="162">
        <v>5.94</v>
      </c>
      <c r="J56" s="162">
        <f t="shared" si="17"/>
        <v>50.489999999999995</v>
      </c>
      <c r="K56" s="163">
        <v>46.04</v>
      </c>
      <c r="L56" s="164">
        <f t="shared" si="18"/>
        <v>605.87999999999988</v>
      </c>
      <c r="M56" s="164">
        <f t="shared" si="18"/>
        <v>552.48</v>
      </c>
      <c r="N56" s="164">
        <f t="shared" si="19"/>
        <v>7128</v>
      </c>
      <c r="O56" s="93">
        <f t="shared" si="20"/>
        <v>9080.36</v>
      </c>
    </row>
    <row r="57" spans="1:15" x14ac:dyDescent="0.2">
      <c r="A57" s="92">
        <v>32</v>
      </c>
      <c r="B57" s="57" t="s">
        <v>221</v>
      </c>
      <c r="C57" s="161">
        <v>400</v>
      </c>
      <c r="D57" s="161"/>
      <c r="E57" s="161"/>
      <c r="F57" s="143">
        <v>200</v>
      </c>
      <c r="G57" s="143">
        <f t="shared" si="0"/>
        <v>400</v>
      </c>
      <c r="H57" s="162">
        <v>30</v>
      </c>
      <c r="I57" s="162">
        <v>4</v>
      </c>
      <c r="J57" s="162">
        <f t="shared" si="17"/>
        <v>34</v>
      </c>
      <c r="K57" s="163">
        <v>31</v>
      </c>
      <c r="L57" s="164">
        <f t="shared" si="18"/>
        <v>408</v>
      </c>
      <c r="M57" s="164">
        <f t="shared" si="18"/>
        <v>372</v>
      </c>
      <c r="N57" s="164">
        <f t="shared" si="19"/>
        <v>4800</v>
      </c>
      <c r="O57" s="93">
        <f t="shared" si="20"/>
        <v>6180</v>
      </c>
    </row>
    <row r="58" spans="1:15" x14ac:dyDescent="0.2">
      <c r="A58" s="92">
        <v>33</v>
      </c>
      <c r="B58" s="57" t="s">
        <v>221</v>
      </c>
      <c r="C58" s="161">
        <v>1034</v>
      </c>
      <c r="D58" s="161"/>
      <c r="E58" s="161"/>
      <c r="F58" s="143">
        <v>200</v>
      </c>
      <c r="G58" s="143">
        <f t="shared" si="0"/>
        <v>1034</v>
      </c>
      <c r="H58" s="162">
        <v>75</v>
      </c>
      <c r="I58" s="162">
        <v>10</v>
      </c>
      <c r="J58" s="162">
        <f t="shared" si="17"/>
        <v>85</v>
      </c>
      <c r="K58" s="163">
        <v>77.5</v>
      </c>
      <c r="L58" s="164">
        <f t="shared" si="18"/>
        <v>1020</v>
      </c>
      <c r="M58" s="164">
        <f t="shared" si="18"/>
        <v>930</v>
      </c>
      <c r="N58" s="164">
        <f t="shared" si="19"/>
        <v>12408</v>
      </c>
      <c r="O58" s="93">
        <f t="shared" si="20"/>
        <v>15592</v>
      </c>
    </row>
    <row r="59" spans="1:15" x14ac:dyDescent="0.2">
      <c r="A59" s="92">
        <v>34</v>
      </c>
      <c r="B59" s="57" t="s">
        <v>221</v>
      </c>
      <c r="C59" s="161">
        <v>385</v>
      </c>
      <c r="D59" s="191">
        <v>15</v>
      </c>
      <c r="E59" s="161">
        <f>SUM(C59:D59)</f>
        <v>400</v>
      </c>
      <c r="F59" s="143">
        <v>200</v>
      </c>
      <c r="G59" s="143">
        <f t="shared" si="0"/>
        <v>385</v>
      </c>
      <c r="H59" s="162">
        <f>+E59*7.5%</f>
        <v>30</v>
      </c>
      <c r="I59" s="162">
        <f>+E59*1%</f>
        <v>4</v>
      </c>
      <c r="J59" s="162">
        <f t="shared" si="17"/>
        <v>34</v>
      </c>
      <c r="K59" s="163">
        <f>+E59*7.75%</f>
        <v>31</v>
      </c>
      <c r="L59" s="164">
        <f t="shared" si="18"/>
        <v>408</v>
      </c>
      <c r="M59" s="164">
        <f t="shared" si="18"/>
        <v>372</v>
      </c>
      <c r="N59" s="164">
        <f t="shared" si="19"/>
        <v>4620</v>
      </c>
      <c r="O59" s="93">
        <f t="shared" si="20"/>
        <v>5985</v>
      </c>
    </row>
    <row r="60" spans="1:15" x14ac:dyDescent="0.2">
      <c r="A60" s="92">
        <v>35</v>
      </c>
      <c r="B60" s="57" t="s">
        <v>221</v>
      </c>
      <c r="C60" s="161">
        <v>385</v>
      </c>
      <c r="D60" s="191">
        <v>15</v>
      </c>
      <c r="E60" s="161">
        <f>SUM(C60:D60)</f>
        <v>400</v>
      </c>
      <c r="F60" s="143">
        <v>200</v>
      </c>
      <c r="G60" s="143">
        <f t="shared" si="0"/>
        <v>385</v>
      </c>
      <c r="H60" s="162">
        <f>+E60*7.5%</f>
        <v>30</v>
      </c>
      <c r="I60" s="162">
        <f>+E60*1%</f>
        <v>4</v>
      </c>
      <c r="J60" s="162">
        <f t="shared" si="17"/>
        <v>34</v>
      </c>
      <c r="K60" s="163">
        <f>+E60*7.75%</f>
        <v>31</v>
      </c>
      <c r="L60" s="164">
        <f t="shared" si="18"/>
        <v>408</v>
      </c>
      <c r="M60" s="164">
        <f t="shared" si="18"/>
        <v>372</v>
      </c>
      <c r="N60" s="164">
        <f t="shared" si="19"/>
        <v>4620</v>
      </c>
      <c r="O60" s="93">
        <f t="shared" si="20"/>
        <v>5985</v>
      </c>
    </row>
    <row r="61" spans="1:15" x14ac:dyDescent="0.2">
      <c r="A61" s="92">
        <v>36</v>
      </c>
      <c r="B61" s="57" t="s">
        <v>221</v>
      </c>
      <c r="C61" s="161">
        <v>500</v>
      </c>
      <c r="D61" s="161"/>
      <c r="E61" s="161"/>
      <c r="F61" s="143">
        <v>200</v>
      </c>
      <c r="G61" s="143">
        <f t="shared" si="0"/>
        <v>500</v>
      </c>
      <c r="H61" s="162">
        <v>37.5</v>
      </c>
      <c r="I61" s="162">
        <v>5</v>
      </c>
      <c r="J61" s="162">
        <f t="shared" si="17"/>
        <v>42.5</v>
      </c>
      <c r="K61" s="163">
        <v>38.75</v>
      </c>
      <c r="L61" s="164">
        <f t="shared" si="18"/>
        <v>510</v>
      </c>
      <c r="M61" s="164">
        <f t="shared" si="18"/>
        <v>465</v>
      </c>
      <c r="N61" s="164">
        <f t="shared" si="19"/>
        <v>6000</v>
      </c>
      <c r="O61" s="93">
        <f t="shared" si="20"/>
        <v>7675</v>
      </c>
    </row>
    <row r="62" spans="1:15" x14ac:dyDescent="0.2">
      <c r="A62" s="92">
        <v>37</v>
      </c>
      <c r="B62" s="57" t="s">
        <v>221</v>
      </c>
      <c r="C62" s="161">
        <v>440</v>
      </c>
      <c r="D62" s="161"/>
      <c r="E62" s="161"/>
      <c r="F62" s="143">
        <v>200</v>
      </c>
      <c r="G62" s="143">
        <f t="shared" si="0"/>
        <v>440</v>
      </c>
      <c r="H62" s="162">
        <v>33</v>
      </c>
      <c r="I62" s="162">
        <v>4.4000000000000004</v>
      </c>
      <c r="J62" s="162">
        <f t="shared" si="17"/>
        <v>37.4</v>
      </c>
      <c r="K62" s="163"/>
      <c r="L62" s="164">
        <f t="shared" si="18"/>
        <v>448.79999999999995</v>
      </c>
      <c r="M62" s="164">
        <f t="shared" si="18"/>
        <v>0</v>
      </c>
      <c r="N62" s="164">
        <f t="shared" si="19"/>
        <v>5280</v>
      </c>
      <c r="O62" s="93">
        <f t="shared" si="20"/>
        <v>6368.8</v>
      </c>
    </row>
    <row r="63" spans="1:15" x14ac:dyDescent="0.2">
      <c r="A63" s="92">
        <v>38</v>
      </c>
      <c r="B63" s="57" t="s">
        <v>221</v>
      </c>
      <c r="C63" s="161">
        <v>330</v>
      </c>
      <c r="D63" s="191">
        <v>45</v>
      </c>
      <c r="E63" s="161">
        <f t="shared" ref="E63:E74" si="21">SUM(C63:D63)</f>
        <v>375</v>
      </c>
      <c r="F63" s="143">
        <v>200</v>
      </c>
      <c r="G63" s="143">
        <f t="shared" si="0"/>
        <v>330</v>
      </c>
      <c r="H63" s="162">
        <f t="shared" ref="H63:H74" si="22">+E63*7.5%</f>
        <v>28.125</v>
      </c>
      <c r="I63" s="162">
        <f t="shared" ref="I63:I74" si="23">+E63*1%</f>
        <v>3.75</v>
      </c>
      <c r="J63" s="162">
        <f t="shared" si="17"/>
        <v>31.875</v>
      </c>
      <c r="K63" s="163">
        <v>25.58</v>
      </c>
      <c r="L63" s="164">
        <f t="shared" si="18"/>
        <v>382.5</v>
      </c>
      <c r="M63" s="164">
        <f t="shared" si="18"/>
        <v>306.95999999999998</v>
      </c>
      <c r="N63" s="164">
        <f t="shared" si="19"/>
        <v>3960</v>
      </c>
      <c r="O63" s="93">
        <f t="shared" si="20"/>
        <v>5179.46</v>
      </c>
    </row>
    <row r="64" spans="1:15" x14ac:dyDescent="0.2">
      <c r="A64" s="92">
        <v>39</v>
      </c>
      <c r="B64" s="57" t="s">
        <v>221</v>
      </c>
      <c r="C64" s="161">
        <v>330</v>
      </c>
      <c r="D64" s="191">
        <v>45</v>
      </c>
      <c r="E64" s="161">
        <f t="shared" si="21"/>
        <v>375</v>
      </c>
      <c r="F64" s="143">
        <v>200</v>
      </c>
      <c r="G64" s="143">
        <f t="shared" si="0"/>
        <v>330</v>
      </c>
      <c r="H64" s="162">
        <f t="shared" si="22"/>
        <v>28.125</v>
      </c>
      <c r="I64" s="162">
        <f t="shared" si="23"/>
        <v>3.75</v>
      </c>
      <c r="J64" s="162">
        <f t="shared" si="17"/>
        <v>31.875</v>
      </c>
      <c r="K64" s="163">
        <f>+E64*7.75%</f>
        <v>29.0625</v>
      </c>
      <c r="L64" s="164">
        <f t="shared" si="18"/>
        <v>382.5</v>
      </c>
      <c r="M64" s="164">
        <f t="shared" si="18"/>
        <v>348.75</v>
      </c>
      <c r="N64" s="164">
        <f t="shared" si="19"/>
        <v>3960</v>
      </c>
      <c r="O64" s="93">
        <f t="shared" si="20"/>
        <v>5221.25</v>
      </c>
    </row>
    <row r="65" spans="1:15" x14ac:dyDescent="0.2">
      <c r="A65" s="92">
        <v>40</v>
      </c>
      <c r="B65" s="57" t="s">
        <v>221</v>
      </c>
      <c r="C65" s="161">
        <v>330</v>
      </c>
      <c r="D65" s="191">
        <v>45</v>
      </c>
      <c r="E65" s="161">
        <f t="shared" si="21"/>
        <v>375</v>
      </c>
      <c r="F65" s="143">
        <v>200</v>
      </c>
      <c r="G65" s="143">
        <f t="shared" si="0"/>
        <v>330</v>
      </c>
      <c r="H65" s="162">
        <f t="shared" si="22"/>
        <v>28.125</v>
      </c>
      <c r="I65" s="162">
        <f t="shared" si="23"/>
        <v>3.75</v>
      </c>
      <c r="J65" s="162">
        <f t="shared" si="17"/>
        <v>31.875</v>
      </c>
      <c r="K65" s="163">
        <f t="shared" ref="K65:K74" si="24">+E65*7.75%</f>
        <v>29.0625</v>
      </c>
      <c r="L65" s="164">
        <f t="shared" si="18"/>
        <v>382.5</v>
      </c>
      <c r="M65" s="164">
        <f t="shared" si="18"/>
        <v>348.75</v>
      </c>
      <c r="N65" s="164">
        <f t="shared" si="19"/>
        <v>3960</v>
      </c>
      <c r="O65" s="93">
        <f t="shared" si="20"/>
        <v>5221.25</v>
      </c>
    </row>
    <row r="66" spans="1:15" x14ac:dyDescent="0.2">
      <c r="A66" s="92">
        <v>41</v>
      </c>
      <c r="B66" s="57" t="s">
        <v>221</v>
      </c>
      <c r="C66" s="161">
        <v>330</v>
      </c>
      <c r="D66" s="191">
        <v>45</v>
      </c>
      <c r="E66" s="161">
        <f t="shared" si="21"/>
        <v>375</v>
      </c>
      <c r="F66" s="143">
        <v>200</v>
      </c>
      <c r="G66" s="143">
        <f t="shared" si="0"/>
        <v>330</v>
      </c>
      <c r="H66" s="162">
        <f t="shared" si="22"/>
        <v>28.125</v>
      </c>
      <c r="I66" s="162">
        <f t="shared" si="23"/>
        <v>3.75</v>
      </c>
      <c r="J66" s="162">
        <f t="shared" si="17"/>
        <v>31.875</v>
      </c>
      <c r="K66" s="163">
        <f t="shared" si="24"/>
        <v>29.0625</v>
      </c>
      <c r="L66" s="164">
        <f t="shared" si="18"/>
        <v>382.5</v>
      </c>
      <c r="M66" s="164">
        <f t="shared" si="18"/>
        <v>348.75</v>
      </c>
      <c r="N66" s="164">
        <f t="shared" si="19"/>
        <v>3960</v>
      </c>
      <c r="O66" s="93">
        <f t="shared" si="20"/>
        <v>5221.25</v>
      </c>
    </row>
    <row r="67" spans="1:15" x14ac:dyDescent="0.2">
      <c r="A67" s="92">
        <v>42</v>
      </c>
      <c r="B67" s="57" t="s">
        <v>221</v>
      </c>
      <c r="C67" s="161">
        <v>330</v>
      </c>
      <c r="D67" s="191">
        <v>45</v>
      </c>
      <c r="E67" s="161">
        <f t="shared" si="21"/>
        <v>375</v>
      </c>
      <c r="F67" s="143">
        <v>200</v>
      </c>
      <c r="G67" s="143">
        <f t="shared" si="0"/>
        <v>330</v>
      </c>
      <c r="H67" s="162">
        <f t="shared" si="22"/>
        <v>28.125</v>
      </c>
      <c r="I67" s="162">
        <f t="shared" si="23"/>
        <v>3.75</v>
      </c>
      <c r="J67" s="162">
        <f t="shared" si="17"/>
        <v>31.875</v>
      </c>
      <c r="K67" s="163">
        <f t="shared" si="24"/>
        <v>29.0625</v>
      </c>
      <c r="L67" s="164">
        <f t="shared" si="18"/>
        <v>382.5</v>
      </c>
      <c r="M67" s="164">
        <f t="shared" si="18"/>
        <v>348.75</v>
      </c>
      <c r="N67" s="164">
        <f t="shared" si="19"/>
        <v>3960</v>
      </c>
      <c r="O67" s="93">
        <f t="shared" si="20"/>
        <v>5221.25</v>
      </c>
    </row>
    <row r="68" spans="1:15" x14ac:dyDescent="0.2">
      <c r="A68" s="92">
        <v>43</v>
      </c>
      <c r="B68" s="57" t="s">
        <v>221</v>
      </c>
      <c r="C68" s="161">
        <v>350</v>
      </c>
      <c r="D68" s="191">
        <v>70</v>
      </c>
      <c r="E68" s="161">
        <f t="shared" si="21"/>
        <v>420</v>
      </c>
      <c r="F68" s="143">
        <v>200</v>
      </c>
      <c r="G68" s="143">
        <f t="shared" si="0"/>
        <v>350</v>
      </c>
      <c r="H68" s="162">
        <f t="shared" si="22"/>
        <v>31.5</v>
      </c>
      <c r="I68" s="162">
        <f t="shared" si="23"/>
        <v>4.2</v>
      </c>
      <c r="J68" s="162">
        <f t="shared" si="17"/>
        <v>35.700000000000003</v>
      </c>
      <c r="K68" s="163">
        <f t="shared" si="24"/>
        <v>32.549999999999997</v>
      </c>
      <c r="L68" s="164">
        <f t="shared" si="18"/>
        <v>428.40000000000003</v>
      </c>
      <c r="M68" s="164">
        <f t="shared" si="18"/>
        <v>390.59999999999997</v>
      </c>
      <c r="N68" s="164">
        <f t="shared" si="19"/>
        <v>4200</v>
      </c>
      <c r="O68" s="93">
        <f t="shared" si="20"/>
        <v>5569</v>
      </c>
    </row>
    <row r="69" spans="1:15" x14ac:dyDescent="0.2">
      <c r="A69" s="92">
        <v>44</v>
      </c>
      <c r="B69" s="57" t="s">
        <v>221</v>
      </c>
      <c r="C69" s="161">
        <v>310</v>
      </c>
      <c r="D69" s="191">
        <v>40</v>
      </c>
      <c r="E69" s="161">
        <f t="shared" si="21"/>
        <v>350</v>
      </c>
      <c r="F69" s="143">
        <v>200</v>
      </c>
      <c r="G69" s="143">
        <f t="shared" si="0"/>
        <v>310</v>
      </c>
      <c r="H69" s="162">
        <f t="shared" si="22"/>
        <v>26.25</v>
      </c>
      <c r="I69" s="162">
        <f t="shared" si="23"/>
        <v>3.5</v>
      </c>
      <c r="J69" s="162">
        <f t="shared" si="17"/>
        <v>29.75</v>
      </c>
      <c r="K69" s="163">
        <f t="shared" si="24"/>
        <v>27.125</v>
      </c>
      <c r="L69" s="164">
        <f t="shared" si="18"/>
        <v>357</v>
      </c>
      <c r="M69" s="164">
        <f t="shared" si="18"/>
        <v>325.5</v>
      </c>
      <c r="N69" s="164">
        <f t="shared" si="19"/>
        <v>3720</v>
      </c>
      <c r="O69" s="93">
        <f t="shared" si="20"/>
        <v>4912.5</v>
      </c>
    </row>
    <row r="70" spans="1:15" x14ac:dyDescent="0.2">
      <c r="A70" s="92">
        <v>45</v>
      </c>
      <c r="B70" s="57" t="s">
        <v>221</v>
      </c>
      <c r="C70" s="161">
        <v>310</v>
      </c>
      <c r="D70" s="191">
        <v>40</v>
      </c>
      <c r="E70" s="161">
        <f t="shared" si="21"/>
        <v>350</v>
      </c>
      <c r="F70" s="143">
        <v>200</v>
      </c>
      <c r="G70" s="143">
        <f t="shared" si="0"/>
        <v>310</v>
      </c>
      <c r="H70" s="162">
        <f t="shared" si="22"/>
        <v>26.25</v>
      </c>
      <c r="I70" s="162">
        <f t="shared" si="23"/>
        <v>3.5</v>
      </c>
      <c r="J70" s="162">
        <f t="shared" si="17"/>
        <v>29.75</v>
      </c>
      <c r="K70" s="163">
        <f t="shared" si="24"/>
        <v>27.125</v>
      </c>
      <c r="L70" s="164">
        <f t="shared" si="18"/>
        <v>357</v>
      </c>
      <c r="M70" s="164">
        <f t="shared" si="18"/>
        <v>325.5</v>
      </c>
      <c r="N70" s="164">
        <f t="shared" si="19"/>
        <v>3720</v>
      </c>
      <c r="O70" s="93">
        <f t="shared" si="20"/>
        <v>4912.5</v>
      </c>
    </row>
    <row r="71" spans="1:15" x14ac:dyDescent="0.2">
      <c r="A71" s="92">
        <v>46</v>
      </c>
      <c r="B71" s="57" t="s">
        <v>221</v>
      </c>
      <c r="C71" s="161">
        <v>310</v>
      </c>
      <c r="D71" s="191">
        <v>40</v>
      </c>
      <c r="E71" s="161">
        <f t="shared" si="21"/>
        <v>350</v>
      </c>
      <c r="F71" s="143">
        <v>200</v>
      </c>
      <c r="G71" s="143">
        <f t="shared" ref="G71:G84" si="25">+C71</f>
        <v>310</v>
      </c>
      <c r="H71" s="162">
        <f t="shared" si="22"/>
        <v>26.25</v>
      </c>
      <c r="I71" s="162">
        <f t="shared" si="23"/>
        <v>3.5</v>
      </c>
      <c r="J71" s="162">
        <f t="shared" si="17"/>
        <v>29.75</v>
      </c>
      <c r="K71" s="163">
        <f t="shared" si="24"/>
        <v>27.125</v>
      </c>
      <c r="L71" s="164">
        <f t="shared" si="18"/>
        <v>357</v>
      </c>
      <c r="M71" s="164">
        <f t="shared" si="18"/>
        <v>325.5</v>
      </c>
      <c r="N71" s="164">
        <f t="shared" si="19"/>
        <v>3720</v>
      </c>
      <c r="O71" s="93">
        <f t="shared" si="20"/>
        <v>4912.5</v>
      </c>
    </row>
    <row r="72" spans="1:15" x14ac:dyDescent="0.2">
      <c r="A72" s="92">
        <v>47</v>
      </c>
      <c r="B72" s="57" t="s">
        <v>221</v>
      </c>
      <c r="C72" s="161">
        <v>310</v>
      </c>
      <c r="D72" s="191">
        <v>40</v>
      </c>
      <c r="E72" s="161">
        <f t="shared" si="21"/>
        <v>350</v>
      </c>
      <c r="F72" s="143">
        <v>200</v>
      </c>
      <c r="G72" s="143">
        <f t="shared" si="25"/>
        <v>310</v>
      </c>
      <c r="H72" s="162">
        <f t="shared" si="22"/>
        <v>26.25</v>
      </c>
      <c r="I72" s="162">
        <f t="shared" si="23"/>
        <v>3.5</v>
      </c>
      <c r="J72" s="162">
        <f t="shared" si="17"/>
        <v>29.75</v>
      </c>
      <c r="K72" s="163">
        <f t="shared" si="24"/>
        <v>27.125</v>
      </c>
      <c r="L72" s="164">
        <f t="shared" si="18"/>
        <v>357</v>
      </c>
      <c r="M72" s="164">
        <f t="shared" si="18"/>
        <v>325.5</v>
      </c>
      <c r="N72" s="164">
        <f t="shared" si="19"/>
        <v>3720</v>
      </c>
      <c r="O72" s="93">
        <f t="shared" si="20"/>
        <v>4912.5</v>
      </c>
    </row>
    <row r="73" spans="1:15" x14ac:dyDescent="0.2">
      <c r="A73" s="92">
        <v>48</v>
      </c>
      <c r="B73" s="57" t="s">
        <v>221</v>
      </c>
      <c r="C73" s="161">
        <v>310</v>
      </c>
      <c r="D73" s="191">
        <v>40</v>
      </c>
      <c r="E73" s="161">
        <f t="shared" si="21"/>
        <v>350</v>
      </c>
      <c r="F73" s="143">
        <v>200</v>
      </c>
      <c r="G73" s="143">
        <f t="shared" si="25"/>
        <v>310</v>
      </c>
      <c r="H73" s="162">
        <f t="shared" si="22"/>
        <v>26.25</v>
      </c>
      <c r="I73" s="162">
        <f t="shared" si="23"/>
        <v>3.5</v>
      </c>
      <c r="J73" s="162">
        <f t="shared" si="17"/>
        <v>29.75</v>
      </c>
      <c r="K73" s="163">
        <f t="shared" si="24"/>
        <v>27.125</v>
      </c>
      <c r="L73" s="164">
        <f t="shared" si="18"/>
        <v>357</v>
      </c>
      <c r="M73" s="164">
        <f t="shared" si="18"/>
        <v>325.5</v>
      </c>
      <c r="N73" s="164">
        <f t="shared" si="19"/>
        <v>3720</v>
      </c>
      <c r="O73" s="93">
        <f t="shared" si="20"/>
        <v>4912.5</v>
      </c>
    </row>
    <row r="74" spans="1:15" x14ac:dyDescent="0.2">
      <c r="A74" s="92">
        <v>49</v>
      </c>
      <c r="B74" s="57" t="s">
        <v>221</v>
      </c>
      <c r="C74" s="161">
        <v>310</v>
      </c>
      <c r="D74" s="191">
        <v>40</v>
      </c>
      <c r="E74" s="161">
        <f t="shared" si="21"/>
        <v>350</v>
      </c>
      <c r="F74" s="143">
        <v>200</v>
      </c>
      <c r="G74" s="143">
        <f t="shared" si="25"/>
        <v>310</v>
      </c>
      <c r="H74" s="162">
        <f t="shared" si="22"/>
        <v>26.25</v>
      </c>
      <c r="I74" s="162">
        <f t="shared" si="23"/>
        <v>3.5</v>
      </c>
      <c r="J74" s="162">
        <f t="shared" si="17"/>
        <v>29.75</v>
      </c>
      <c r="K74" s="163">
        <f t="shared" si="24"/>
        <v>27.125</v>
      </c>
      <c r="L74" s="164">
        <f t="shared" si="18"/>
        <v>357</v>
      </c>
      <c r="M74" s="164">
        <f t="shared" si="18"/>
        <v>325.5</v>
      </c>
      <c r="N74" s="164">
        <f t="shared" si="19"/>
        <v>3720</v>
      </c>
      <c r="O74" s="93">
        <f t="shared" si="20"/>
        <v>4912.5</v>
      </c>
    </row>
    <row r="75" spans="1:15" x14ac:dyDescent="0.2">
      <c r="A75" s="92">
        <v>50</v>
      </c>
      <c r="B75" s="57" t="s">
        <v>221</v>
      </c>
      <c r="C75" s="161">
        <v>519.16</v>
      </c>
      <c r="D75" s="161"/>
      <c r="E75" s="161"/>
      <c r="F75" s="143">
        <v>200</v>
      </c>
      <c r="G75" s="143">
        <f t="shared" si="25"/>
        <v>519.16</v>
      </c>
      <c r="H75" s="162"/>
      <c r="I75" s="162"/>
      <c r="J75" s="162">
        <f t="shared" si="17"/>
        <v>0</v>
      </c>
      <c r="K75" s="163"/>
      <c r="L75" s="164">
        <f t="shared" si="18"/>
        <v>0</v>
      </c>
      <c r="M75" s="164">
        <f t="shared" si="18"/>
        <v>0</v>
      </c>
      <c r="N75" s="164">
        <f t="shared" si="19"/>
        <v>6229.92</v>
      </c>
      <c r="O75" s="93">
        <f t="shared" si="20"/>
        <v>6949.08</v>
      </c>
    </row>
    <row r="76" spans="1:15" x14ac:dyDescent="0.2">
      <c r="A76" s="92">
        <v>51</v>
      </c>
      <c r="B76" s="57" t="s">
        <v>221</v>
      </c>
      <c r="C76" s="161">
        <v>385</v>
      </c>
      <c r="D76" s="191">
        <v>55</v>
      </c>
      <c r="E76" s="161">
        <f>SUM(C76:D76)</f>
        <v>440</v>
      </c>
      <c r="F76" s="143">
        <v>200</v>
      </c>
      <c r="G76" s="143">
        <f t="shared" si="25"/>
        <v>385</v>
      </c>
      <c r="H76" s="162">
        <f>+E76*7.5%</f>
        <v>33</v>
      </c>
      <c r="I76" s="162">
        <f>+E76*1%</f>
        <v>4.4000000000000004</v>
      </c>
      <c r="J76" s="162">
        <f t="shared" si="17"/>
        <v>37.4</v>
      </c>
      <c r="K76" s="163">
        <f>+E76*7.75%</f>
        <v>34.1</v>
      </c>
      <c r="L76" s="164">
        <f t="shared" si="18"/>
        <v>448.79999999999995</v>
      </c>
      <c r="M76" s="164">
        <f t="shared" si="18"/>
        <v>409.20000000000005</v>
      </c>
      <c r="N76" s="164">
        <f t="shared" si="19"/>
        <v>4620</v>
      </c>
      <c r="O76" s="93">
        <f t="shared" si="20"/>
        <v>6063</v>
      </c>
    </row>
    <row r="77" spans="1:15" x14ac:dyDescent="0.2">
      <c r="A77" s="92">
        <v>52</v>
      </c>
      <c r="B77" s="57" t="s">
        <v>221</v>
      </c>
      <c r="C77" s="161">
        <v>310</v>
      </c>
      <c r="D77" s="191">
        <v>40</v>
      </c>
      <c r="E77" s="161">
        <f>SUM(C77:D77)</f>
        <v>350</v>
      </c>
      <c r="F77" s="143">
        <v>200</v>
      </c>
      <c r="G77" s="143">
        <f t="shared" si="25"/>
        <v>310</v>
      </c>
      <c r="H77" s="162">
        <f>+E77*7.5%</f>
        <v>26.25</v>
      </c>
      <c r="I77" s="162">
        <f>+E77*1%</f>
        <v>3.5</v>
      </c>
      <c r="J77" s="162">
        <f t="shared" si="17"/>
        <v>29.75</v>
      </c>
      <c r="K77" s="163">
        <f>+E77*7.75%</f>
        <v>27.125</v>
      </c>
      <c r="L77" s="164">
        <f t="shared" si="18"/>
        <v>357</v>
      </c>
      <c r="M77" s="164">
        <f t="shared" si="18"/>
        <v>325.5</v>
      </c>
      <c r="N77" s="164">
        <f t="shared" si="19"/>
        <v>3720</v>
      </c>
      <c r="O77" s="93">
        <f t="shared" si="20"/>
        <v>4912.5</v>
      </c>
    </row>
    <row r="78" spans="1:15" x14ac:dyDescent="0.2">
      <c r="A78" s="92">
        <v>53</v>
      </c>
      <c r="B78" s="57" t="s">
        <v>221</v>
      </c>
      <c r="C78" s="161">
        <v>385</v>
      </c>
      <c r="D78" s="191">
        <v>15</v>
      </c>
      <c r="E78" s="161">
        <f>SUM(C78:D78)</f>
        <v>400</v>
      </c>
      <c r="F78" s="143">
        <v>200</v>
      </c>
      <c r="G78" s="143">
        <f t="shared" si="25"/>
        <v>385</v>
      </c>
      <c r="H78" s="162">
        <f>+E78*7.5%</f>
        <v>30</v>
      </c>
      <c r="I78" s="162">
        <f>+E78*1%</f>
        <v>4</v>
      </c>
      <c r="J78" s="162">
        <f t="shared" si="17"/>
        <v>34</v>
      </c>
      <c r="K78" s="163">
        <f>+E78*7.75%</f>
        <v>31</v>
      </c>
      <c r="L78" s="164">
        <f t="shared" si="18"/>
        <v>408</v>
      </c>
      <c r="M78" s="164">
        <f t="shared" si="18"/>
        <v>372</v>
      </c>
      <c r="N78" s="164">
        <f t="shared" si="19"/>
        <v>4620</v>
      </c>
      <c r="O78" s="93">
        <f t="shared" si="20"/>
        <v>5985</v>
      </c>
    </row>
    <row r="79" spans="1:15" x14ac:dyDescent="0.2">
      <c r="A79" s="92">
        <v>54</v>
      </c>
      <c r="B79" s="57" t="s">
        <v>221</v>
      </c>
      <c r="C79" s="161">
        <v>440</v>
      </c>
      <c r="D79" s="191">
        <v>60</v>
      </c>
      <c r="E79" s="161">
        <f>SUM(C79:D79)</f>
        <v>500</v>
      </c>
      <c r="F79" s="143">
        <v>200</v>
      </c>
      <c r="G79" s="143">
        <f t="shared" si="25"/>
        <v>440</v>
      </c>
      <c r="H79" s="162">
        <f>+E79*7.5%</f>
        <v>37.5</v>
      </c>
      <c r="I79" s="162">
        <f>+E79*1%</f>
        <v>5</v>
      </c>
      <c r="J79" s="162">
        <f t="shared" si="17"/>
        <v>42.5</v>
      </c>
      <c r="K79" s="163">
        <f>+E79*7.75%</f>
        <v>38.75</v>
      </c>
      <c r="L79" s="164">
        <f t="shared" si="18"/>
        <v>510</v>
      </c>
      <c r="M79" s="164">
        <f t="shared" si="18"/>
        <v>465</v>
      </c>
      <c r="N79" s="164">
        <f t="shared" si="19"/>
        <v>5280</v>
      </c>
      <c r="O79" s="93">
        <f t="shared" si="20"/>
        <v>6895</v>
      </c>
    </row>
    <row r="80" spans="1:15" x14ac:dyDescent="0.2">
      <c r="A80" s="92">
        <v>55</v>
      </c>
      <c r="B80" s="57" t="s">
        <v>221</v>
      </c>
      <c r="C80" s="161">
        <v>357.5</v>
      </c>
      <c r="D80" s="191">
        <v>42.5</v>
      </c>
      <c r="E80" s="161">
        <f>SUM(C80:D80)</f>
        <v>400</v>
      </c>
      <c r="F80" s="143">
        <v>200</v>
      </c>
      <c r="G80" s="143">
        <f t="shared" si="25"/>
        <v>357.5</v>
      </c>
      <c r="H80" s="162">
        <f>+E80*7.5%</f>
        <v>30</v>
      </c>
      <c r="I80" s="162">
        <f>+E80*1%</f>
        <v>4</v>
      </c>
      <c r="J80" s="162">
        <f t="shared" si="17"/>
        <v>34</v>
      </c>
      <c r="K80" s="163">
        <f>+E80*7.75%</f>
        <v>31</v>
      </c>
      <c r="L80" s="164">
        <f t="shared" si="18"/>
        <v>408</v>
      </c>
      <c r="M80" s="164">
        <f t="shared" si="18"/>
        <v>372</v>
      </c>
      <c r="N80" s="164">
        <f t="shared" si="19"/>
        <v>4290</v>
      </c>
      <c r="O80" s="93">
        <f t="shared" si="20"/>
        <v>5627.5</v>
      </c>
    </row>
    <row r="81" spans="1:15" x14ac:dyDescent="0.2">
      <c r="A81" s="92">
        <v>56</v>
      </c>
      <c r="B81" s="57" t="s">
        <v>221</v>
      </c>
      <c r="C81" s="161">
        <v>444.44</v>
      </c>
      <c r="D81" s="161"/>
      <c r="E81" s="161"/>
      <c r="F81" s="143">
        <v>200</v>
      </c>
      <c r="G81" s="143">
        <f t="shared" si="25"/>
        <v>444.44</v>
      </c>
      <c r="H81" s="162">
        <v>33.33</v>
      </c>
      <c r="I81" s="162">
        <v>4.4400000000000004</v>
      </c>
      <c r="J81" s="162">
        <f t="shared" si="17"/>
        <v>37.769999999999996</v>
      </c>
      <c r="K81" s="163">
        <v>34.44</v>
      </c>
      <c r="L81" s="164">
        <f t="shared" si="18"/>
        <v>453.23999999999995</v>
      </c>
      <c r="M81" s="164">
        <f t="shared" si="18"/>
        <v>413.28</v>
      </c>
      <c r="N81" s="164">
        <f t="shared" si="19"/>
        <v>5333.28</v>
      </c>
      <c r="O81" s="93">
        <f t="shared" si="20"/>
        <v>6844.24</v>
      </c>
    </row>
    <row r="82" spans="1:15" x14ac:dyDescent="0.2">
      <c r="A82" s="92">
        <v>57</v>
      </c>
      <c r="B82" s="57" t="s">
        <v>221</v>
      </c>
      <c r="C82" s="161">
        <v>385</v>
      </c>
      <c r="D82" s="191">
        <v>55</v>
      </c>
      <c r="E82" s="161">
        <f>SUM(C82:D82)</f>
        <v>440</v>
      </c>
      <c r="F82" s="143">
        <v>200</v>
      </c>
      <c r="G82" s="143">
        <f t="shared" si="25"/>
        <v>385</v>
      </c>
      <c r="H82" s="162">
        <f>+E82*7.5%</f>
        <v>33</v>
      </c>
      <c r="I82" s="162">
        <f>+E82*1%</f>
        <v>4.4000000000000004</v>
      </c>
      <c r="J82" s="162">
        <f t="shared" si="17"/>
        <v>37.4</v>
      </c>
      <c r="K82" s="163">
        <f>+E82*7.75%</f>
        <v>34.1</v>
      </c>
      <c r="L82" s="164">
        <f t="shared" si="18"/>
        <v>448.79999999999995</v>
      </c>
      <c r="M82" s="164">
        <f t="shared" si="18"/>
        <v>409.20000000000005</v>
      </c>
      <c r="N82" s="164">
        <f t="shared" si="19"/>
        <v>4620</v>
      </c>
      <c r="O82" s="93">
        <f t="shared" si="20"/>
        <v>6063</v>
      </c>
    </row>
    <row r="83" spans="1:15" x14ac:dyDescent="0.2">
      <c r="A83" s="92">
        <v>58</v>
      </c>
      <c r="B83" s="57" t="s">
        <v>221</v>
      </c>
      <c r="C83" s="161">
        <v>350</v>
      </c>
      <c r="D83" s="191">
        <v>50</v>
      </c>
      <c r="E83" s="161">
        <f>SUM(C83:D83)</f>
        <v>400</v>
      </c>
      <c r="F83" s="143">
        <v>200</v>
      </c>
      <c r="G83" s="143">
        <f t="shared" si="25"/>
        <v>350</v>
      </c>
      <c r="H83" s="162">
        <f>+E83*7.5%</f>
        <v>30</v>
      </c>
      <c r="I83" s="162">
        <f>+E83*1%</f>
        <v>4</v>
      </c>
      <c r="J83" s="162">
        <f t="shared" si="17"/>
        <v>34</v>
      </c>
      <c r="K83" s="163">
        <f>+E83*7.75%</f>
        <v>31</v>
      </c>
      <c r="L83" s="164">
        <f t="shared" si="18"/>
        <v>408</v>
      </c>
      <c r="M83" s="164">
        <f t="shared" si="18"/>
        <v>372</v>
      </c>
      <c r="N83" s="164">
        <f t="shared" si="19"/>
        <v>4200</v>
      </c>
      <c r="O83" s="93">
        <f t="shared" si="20"/>
        <v>5530</v>
      </c>
    </row>
    <row r="84" spans="1:15" x14ac:dyDescent="0.2">
      <c r="A84" s="92">
        <v>59</v>
      </c>
      <c r="B84" s="57" t="s">
        <v>221</v>
      </c>
      <c r="C84" s="161">
        <v>550</v>
      </c>
      <c r="D84" s="161"/>
      <c r="E84" s="161"/>
      <c r="F84" s="143">
        <v>200</v>
      </c>
      <c r="G84" s="143">
        <f t="shared" si="25"/>
        <v>550</v>
      </c>
      <c r="H84" s="162">
        <v>41.25</v>
      </c>
      <c r="I84" s="162">
        <v>5.5</v>
      </c>
      <c r="J84" s="162">
        <f t="shared" si="17"/>
        <v>46.75</v>
      </c>
      <c r="K84" s="163">
        <v>42.63</v>
      </c>
      <c r="L84" s="164">
        <f t="shared" si="18"/>
        <v>561</v>
      </c>
      <c r="M84" s="164">
        <f t="shared" si="18"/>
        <v>511.56000000000006</v>
      </c>
      <c r="N84" s="164">
        <f t="shared" si="19"/>
        <v>6600</v>
      </c>
      <c r="O84" s="93">
        <f t="shared" si="20"/>
        <v>8422.56</v>
      </c>
    </row>
    <row r="85" spans="1:15" x14ac:dyDescent="0.2">
      <c r="A85" s="165"/>
      <c r="B85" s="166"/>
      <c r="C85" s="167">
        <f>SUM(C41:C84)</f>
        <v>19547.32</v>
      </c>
      <c r="D85" s="167">
        <f>SUM(D41:D84)</f>
        <v>1155.19</v>
      </c>
      <c r="E85" s="167">
        <f>SUM(E41:E84)</f>
        <v>10485</v>
      </c>
      <c r="F85" s="167">
        <f t="shared" ref="F85:O85" si="26">SUM(F41:F84)</f>
        <v>8800</v>
      </c>
      <c r="G85" s="167">
        <f t="shared" si="26"/>
        <v>19547.32</v>
      </c>
      <c r="H85" s="167">
        <f t="shared" si="26"/>
        <v>1511.1949999999999</v>
      </c>
      <c r="I85" s="167">
        <f t="shared" si="26"/>
        <v>201.5</v>
      </c>
      <c r="J85" s="167">
        <f t="shared" si="26"/>
        <v>1712.6950000000002</v>
      </c>
      <c r="K85" s="167">
        <f t="shared" si="26"/>
        <v>1524.0049999999999</v>
      </c>
      <c r="L85" s="167">
        <f t="shared" si="26"/>
        <v>20552.339999999997</v>
      </c>
      <c r="M85" s="167">
        <f t="shared" si="26"/>
        <v>18288.060000000001</v>
      </c>
      <c r="N85" s="167">
        <f t="shared" si="26"/>
        <v>234567.84000000003</v>
      </c>
      <c r="O85" s="167">
        <f t="shared" si="26"/>
        <v>301755.55999999994</v>
      </c>
    </row>
    <row r="86" spans="1:15" x14ac:dyDescent="0.2">
      <c r="A86" s="92"/>
      <c r="B86" s="57"/>
      <c r="C86" s="161"/>
      <c r="D86" s="161"/>
      <c r="E86" s="161"/>
      <c r="F86" s="143"/>
      <c r="G86" s="143"/>
      <c r="H86" s="162"/>
      <c r="I86" s="162"/>
      <c r="J86" s="162"/>
      <c r="K86" s="163"/>
      <c r="L86" s="164"/>
      <c r="M86" s="164"/>
      <c r="N86" s="164"/>
      <c r="O86" s="93"/>
    </row>
    <row r="87" spans="1:15" x14ac:dyDescent="0.2">
      <c r="A87" s="92">
        <v>60</v>
      </c>
      <c r="B87" s="148" t="s">
        <v>417</v>
      </c>
      <c r="C87" s="161">
        <v>385</v>
      </c>
      <c r="D87" s="191">
        <v>65</v>
      </c>
      <c r="E87" s="161">
        <f t="shared" ref="E87:E94" si="27">SUM(C87:D87)</f>
        <v>450</v>
      </c>
      <c r="F87" s="143">
        <v>200</v>
      </c>
      <c r="G87" s="143">
        <f t="shared" ref="G87:G94" si="28">+C87</f>
        <v>385</v>
      </c>
      <c r="H87" s="162">
        <f t="shared" ref="H87:H93" si="29">+E87*7.5%</f>
        <v>33.75</v>
      </c>
      <c r="I87" s="162">
        <f t="shared" ref="I87:I93" si="30">+E87*1%</f>
        <v>4.5</v>
      </c>
      <c r="J87" s="162">
        <f t="shared" ref="J87:J94" si="31">SUM(H87:I87)</f>
        <v>38.25</v>
      </c>
      <c r="K87" s="163"/>
      <c r="L87" s="164">
        <f t="shared" ref="L87:M94" si="32">+J87*12</f>
        <v>459</v>
      </c>
      <c r="M87" s="164">
        <f t="shared" si="32"/>
        <v>0</v>
      </c>
      <c r="N87" s="164">
        <f t="shared" ref="N87:N94" si="33">+C87*12</f>
        <v>4620</v>
      </c>
      <c r="O87" s="93">
        <f t="shared" ref="O87:O94" si="34">+F87+G87+L87+M87+N87</f>
        <v>5664</v>
      </c>
    </row>
    <row r="88" spans="1:15" x14ac:dyDescent="0.2">
      <c r="A88" s="92">
        <v>61</v>
      </c>
      <c r="B88" s="57" t="s">
        <v>417</v>
      </c>
      <c r="C88" s="161">
        <v>310</v>
      </c>
      <c r="D88" s="191">
        <v>40</v>
      </c>
      <c r="E88" s="161">
        <f t="shared" si="27"/>
        <v>350</v>
      </c>
      <c r="F88" s="143">
        <v>200</v>
      </c>
      <c r="G88" s="143">
        <f t="shared" si="28"/>
        <v>310</v>
      </c>
      <c r="H88" s="162">
        <f t="shared" si="29"/>
        <v>26.25</v>
      </c>
      <c r="I88" s="162">
        <f t="shared" si="30"/>
        <v>3.5</v>
      </c>
      <c r="J88" s="162">
        <f t="shared" si="31"/>
        <v>29.75</v>
      </c>
      <c r="K88" s="163">
        <v>24.03</v>
      </c>
      <c r="L88" s="164">
        <f t="shared" si="32"/>
        <v>357</v>
      </c>
      <c r="M88" s="164">
        <f t="shared" si="32"/>
        <v>288.36</v>
      </c>
      <c r="N88" s="164">
        <f t="shared" si="33"/>
        <v>3720</v>
      </c>
      <c r="O88" s="93">
        <f t="shared" si="34"/>
        <v>4875.3600000000006</v>
      </c>
    </row>
    <row r="89" spans="1:15" x14ac:dyDescent="0.2">
      <c r="A89" s="92">
        <v>62</v>
      </c>
      <c r="B89" s="57" t="s">
        <v>417</v>
      </c>
      <c r="C89" s="161">
        <v>310</v>
      </c>
      <c r="D89" s="191">
        <v>40</v>
      </c>
      <c r="E89" s="161">
        <f t="shared" si="27"/>
        <v>350</v>
      </c>
      <c r="F89" s="143">
        <v>200</v>
      </c>
      <c r="G89" s="143">
        <f t="shared" si="28"/>
        <v>310</v>
      </c>
      <c r="H89" s="162">
        <f t="shared" si="29"/>
        <v>26.25</v>
      </c>
      <c r="I89" s="162">
        <f t="shared" si="30"/>
        <v>3.5</v>
      </c>
      <c r="J89" s="162">
        <f t="shared" si="31"/>
        <v>29.75</v>
      </c>
      <c r="K89" s="163">
        <v>24.03</v>
      </c>
      <c r="L89" s="164">
        <f t="shared" si="32"/>
        <v>357</v>
      </c>
      <c r="M89" s="164">
        <f t="shared" si="32"/>
        <v>288.36</v>
      </c>
      <c r="N89" s="164">
        <f t="shared" si="33"/>
        <v>3720</v>
      </c>
      <c r="O89" s="93">
        <f t="shared" si="34"/>
        <v>4875.3600000000006</v>
      </c>
    </row>
    <row r="90" spans="1:15" x14ac:dyDescent="0.2">
      <c r="A90" s="92">
        <v>63</v>
      </c>
      <c r="B90" s="57" t="s">
        <v>417</v>
      </c>
      <c r="C90" s="161">
        <v>330</v>
      </c>
      <c r="D90" s="191">
        <v>20</v>
      </c>
      <c r="E90" s="161">
        <f t="shared" si="27"/>
        <v>350</v>
      </c>
      <c r="F90" s="143">
        <v>200</v>
      </c>
      <c r="G90" s="143">
        <f t="shared" si="28"/>
        <v>330</v>
      </c>
      <c r="H90" s="162">
        <f t="shared" si="29"/>
        <v>26.25</v>
      </c>
      <c r="I90" s="162">
        <f t="shared" si="30"/>
        <v>3.5</v>
      </c>
      <c r="J90" s="162">
        <f t="shared" si="31"/>
        <v>29.75</v>
      </c>
      <c r="K90" s="163">
        <v>26.2</v>
      </c>
      <c r="L90" s="164">
        <f t="shared" si="32"/>
        <v>357</v>
      </c>
      <c r="M90" s="164">
        <f t="shared" si="32"/>
        <v>314.39999999999998</v>
      </c>
      <c r="N90" s="164">
        <f t="shared" si="33"/>
        <v>3960</v>
      </c>
      <c r="O90" s="93">
        <f t="shared" si="34"/>
        <v>5161.3999999999996</v>
      </c>
    </row>
    <row r="91" spans="1:15" x14ac:dyDescent="0.2">
      <c r="A91" s="92">
        <v>64</v>
      </c>
      <c r="B91" s="57" t="s">
        <v>417</v>
      </c>
      <c r="C91" s="161">
        <v>330</v>
      </c>
      <c r="D91" s="191">
        <v>20</v>
      </c>
      <c r="E91" s="161">
        <f t="shared" si="27"/>
        <v>350</v>
      </c>
      <c r="F91" s="143">
        <v>200</v>
      </c>
      <c r="G91" s="143">
        <f t="shared" si="28"/>
        <v>330</v>
      </c>
      <c r="H91" s="162">
        <f t="shared" si="29"/>
        <v>26.25</v>
      </c>
      <c r="I91" s="162">
        <f t="shared" si="30"/>
        <v>3.5</v>
      </c>
      <c r="J91" s="162">
        <f t="shared" si="31"/>
        <v>29.75</v>
      </c>
      <c r="K91" s="163">
        <v>24.75</v>
      </c>
      <c r="L91" s="164">
        <f t="shared" si="32"/>
        <v>357</v>
      </c>
      <c r="M91" s="164">
        <f t="shared" si="32"/>
        <v>297</v>
      </c>
      <c r="N91" s="164">
        <f t="shared" si="33"/>
        <v>3960</v>
      </c>
      <c r="O91" s="93">
        <f t="shared" si="34"/>
        <v>5144</v>
      </c>
    </row>
    <row r="92" spans="1:15" x14ac:dyDescent="0.2">
      <c r="A92" s="92">
        <v>65</v>
      </c>
      <c r="B92" s="57" t="s">
        <v>417</v>
      </c>
      <c r="C92" s="161">
        <v>310</v>
      </c>
      <c r="D92" s="191">
        <v>40</v>
      </c>
      <c r="E92" s="161">
        <f t="shared" si="27"/>
        <v>350</v>
      </c>
      <c r="F92" s="143">
        <v>200</v>
      </c>
      <c r="G92" s="143">
        <f t="shared" si="28"/>
        <v>310</v>
      </c>
      <c r="H92" s="162">
        <f t="shared" si="29"/>
        <v>26.25</v>
      </c>
      <c r="I92" s="162">
        <f t="shared" si="30"/>
        <v>3.5</v>
      </c>
      <c r="J92" s="162">
        <f t="shared" si="31"/>
        <v>29.75</v>
      </c>
      <c r="K92" s="163">
        <v>24.03</v>
      </c>
      <c r="L92" s="164">
        <f t="shared" si="32"/>
        <v>357</v>
      </c>
      <c r="M92" s="164">
        <f t="shared" si="32"/>
        <v>288.36</v>
      </c>
      <c r="N92" s="164">
        <f t="shared" si="33"/>
        <v>3720</v>
      </c>
      <c r="O92" s="93">
        <f t="shared" si="34"/>
        <v>4875.3600000000006</v>
      </c>
    </row>
    <row r="93" spans="1:15" x14ac:dyDescent="0.2">
      <c r="A93" s="92">
        <v>66</v>
      </c>
      <c r="B93" s="57"/>
      <c r="C93" s="161">
        <v>504.9</v>
      </c>
      <c r="D93" s="191">
        <v>45.1</v>
      </c>
      <c r="E93" s="161">
        <f t="shared" si="27"/>
        <v>550</v>
      </c>
      <c r="F93" s="143">
        <v>200</v>
      </c>
      <c r="G93" s="143">
        <f t="shared" si="28"/>
        <v>504.9</v>
      </c>
      <c r="H93" s="162">
        <f t="shared" si="29"/>
        <v>41.25</v>
      </c>
      <c r="I93" s="162">
        <f t="shared" si="30"/>
        <v>5.5</v>
      </c>
      <c r="J93" s="162">
        <f t="shared" si="31"/>
        <v>46.75</v>
      </c>
      <c r="K93" s="163">
        <v>24.03</v>
      </c>
      <c r="L93" s="164">
        <f t="shared" si="32"/>
        <v>561</v>
      </c>
      <c r="M93" s="164">
        <f t="shared" si="32"/>
        <v>288.36</v>
      </c>
      <c r="N93" s="164">
        <f t="shared" si="33"/>
        <v>6058.7999999999993</v>
      </c>
      <c r="O93" s="93">
        <f t="shared" si="34"/>
        <v>7613.0599999999995</v>
      </c>
    </row>
    <row r="94" spans="1:15" x14ac:dyDescent="0.2">
      <c r="A94" s="92">
        <v>67</v>
      </c>
      <c r="B94" s="57" t="s">
        <v>417</v>
      </c>
      <c r="C94" s="161">
        <v>310</v>
      </c>
      <c r="D94" s="191">
        <v>40</v>
      </c>
      <c r="E94" s="161">
        <f t="shared" si="27"/>
        <v>350</v>
      </c>
      <c r="F94" s="143">
        <v>200</v>
      </c>
      <c r="G94" s="143">
        <f t="shared" si="28"/>
        <v>310</v>
      </c>
      <c r="H94" s="162">
        <f>+E94*7.5%</f>
        <v>26.25</v>
      </c>
      <c r="I94" s="162">
        <f>+E94*1%</f>
        <v>3.5</v>
      </c>
      <c r="J94" s="162">
        <f t="shared" si="31"/>
        <v>29.75</v>
      </c>
      <c r="K94" s="163">
        <v>24.03</v>
      </c>
      <c r="L94" s="164">
        <f t="shared" si="32"/>
        <v>357</v>
      </c>
      <c r="M94" s="164">
        <f t="shared" si="32"/>
        <v>288.36</v>
      </c>
      <c r="N94" s="164">
        <f t="shared" si="33"/>
        <v>3720</v>
      </c>
      <c r="O94" s="93">
        <f t="shared" si="34"/>
        <v>4875.3600000000006</v>
      </c>
    </row>
    <row r="95" spans="1:15" x14ac:dyDescent="0.2">
      <c r="A95" s="165"/>
      <c r="B95" s="166"/>
      <c r="C95" s="167">
        <f>SUM(C87:C94)</f>
        <v>2789.9</v>
      </c>
      <c r="D95" s="167">
        <f>SUM(D87:D94)</f>
        <v>310.10000000000002</v>
      </c>
      <c r="E95" s="167">
        <f>SUM(E87:E94)</f>
        <v>3100</v>
      </c>
      <c r="F95" s="167">
        <f t="shared" ref="F95:O95" si="35">SUM(F87:F94)</f>
        <v>1600</v>
      </c>
      <c r="G95" s="167">
        <f t="shared" si="35"/>
        <v>2789.9</v>
      </c>
      <c r="H95" s="167">
        <f t="shared" si="35"/>
        <v>232.5</v>
      </c>
      <c r="I95" s="167">
        <f t="shared" si="35"/>
        <v>31</v>
      </c>
      <c r="J95" s="167">
        <f t="shared" si="35"/>
        <v>263.5</v>
      </c>
      <c r="K95" s="167">
        <f t="shared" si="35"/>
        <v>171.1</v>
      </c>
      <c r="L95" s="167">
        <f t="shared" si="35"/>
        <v>3162</v>
      </c>
      <c r="M95" s="167">
        <f t="shared" si="35"/>
        <v>2053.2000000000003</v>
      </c>
      <c r="N95" s="167">
        <f t="shared" si="35"/>
        <v>33478.800000000003</v>
      </c>
      <c r="O95" s="167">
        <f t="shared" si="35"/>
        <v>43083.9</v>
      </c>
    </row>
    <row r="96" spans="1:15" x14ac:dyDescent="0.2">
      <c r="A96" s="92"/>
      <c r="B96" s="57"/>
      <c r="C96" s="161"/>
      <c r="D96" s="161"/>
      <c r="E96" s="161"/>
      <c r="F96" s="143"/>
      <c r="G96" s="143"/>
      <c r="H96" s="162"/>
      <c r="I96" s="162"/>
      <c r="J96" s="162"/>
      <c r="K96" s="163"/>
      <c r="L96" s="164"/>
      <c r="M96" s="164"/>
      <c r="N96" s="164"/>
      <c r="O96" s="93"/>
    </row>
    <row r="97" spans="1:15" x14ac:dyDescent="0.2">
      <c r="A97" s="92"/>
      <c r="B97" s="57"/>
      <c r="C97" s="161"/>
      <c r="D97" s="161"/>
      <c r="E97" s="161"/>
      <c r="F97" s="143"/>
      <c r="G97" s="143">
        <f>+C97</f>
        <v>0</v>
      </c>
      <c r="H97" s="162"/>
      <c r="I97" s="162"/>
      <c r="J97" s="162"/>
      <c r="K97" s="163"/>
      <c r="L97" s="164"/>
      <c r="M97" s="164"/>
      <c r="N97" s="164"/>
      <c r="O97" s="93"/>
    </row>
    <row r="98" spans="1:15" ht="13.5" thickBot="1" x14ac:dyDescent="0.25">
      <c r="A98" s="92"/>
      <c r="B98" s="57"/>
      <c r="C98" s="161"/>
      <c r="D98" s="161"/>
      <c r="E98" s="161"/>
      <c r="F98" s="143"/>
      <c r="G98" s="143"/>
      <c r="H98" s="162"/>
      <c r="I98" s="162"/>
      <c r="J98" s="162"/>
      <c r="K98" s="163"/>
      <c r="L98" s="164"/>
      <c r="M98" s="164"/>
      <c r="N98" s="164"/>
      <c r="O98" s="93"/>
    </row>
    <row r="99" spans="1:15" ht="15.75" thickBot="1" x14ac:dyDescent="0.25">
      <c r="A99" s="685"/>
      <c r="B99" s="688"/>
      <c r="C99" s="97">
        <f>+C13+C27+C39+C85+C95</f>
        <v>45983.27</v>
      </c>
      <c r="D99" s="97">
        <f>+D13+D27+D39+D85+D95</f>
        <v>1686.29</v>
      </c>
      <c r="E99" s="167">
        <f>SUM(C99:D99)</f>
        <v>47669.56</v>
      </c>
      <c r="F99" s="97">
        <f t="shared" ref="F99:O99" si="36">+F13+F27+F39+F85+F95</f>
        <v>13400</v>
      </c>
      <c r="G99" s="97">
        <f t="shared" si="36"/>
        <v>35423.269999999997</v>
      </c>
      <c r="H99" s="97">
        <f t="shared" si="36"/>
        <v>2982.1800000000003</v>
      </c>
      <c r="I99" s="97">
        <f t="shared" si="36"/>
        <v>387.97</v>
      </c>
      <c r="J99" s="97">
        <f t="shared" si="36"/>
        <v>3370.15</v>
      </c>
      <c r="K99" s="97">
        <f t="shared" si="36"/>
        <v>2936.1224999999999</v>
      </c>
      <c r="L99" s="97">
        <f t="shared" si="36"/>
        <v>40441.800000000003</v>
      </c>
      <c r="M99" s="97">
        <f t="shared" si="36"/>
        <v>35233.47</v>
      </c>
      <c r="N99" s="97">
        <f t="shared" si="36"/>
        <v>551799.24</v>
      </c>
      <c r="O99" s="97">
        <f t="shared" si="36"/>
        <v>676297.77999999991</v>
      </c>
    </row>
    <row r="100" spans="1:15" ht="14.25" x14ac:dyDescent="0.2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</row>
    <row r="101" spans="1:15" x14ac:dyDescent="0.2">
      <c r="F101" s="151"/>
    </row>
    <row r="102" spans="1:15" x14ac:dyDescent="0.2">
      <c r="C102" s="178" t="s">
        <v>555</v>
      </c>
      <c r="D102" s="178"/>
      <c r="E102" s="178"/>
      <c r="F102" s="151"/>
      <c r="I102" s="186"/>
    </row>
    <row r="103" spans="1:15" x14ac:dyDescent="0.2">
      <c r="C103" s="55">
        <v>51101</v>
      </c>
      <c r="F103" s="179" t="s">
        <v>35</v>
      </c>
      <c r="H103" s="180">
        <v>90444.6</v>
      </c>
      <c r="I103" s="180">
        <v>96516.6</v>
      </c>
    </row>
    <row r="104" spans="1:15" x14ac:dyDescent="0.2">
      <c r="C104" s="55">
        <v>51103</v>
      </c>
      <c r="F104" s="179" t="s">
        <v>36</v>
      </c>
      <c r="H104" s="180">
        <v>7537.05</v>
      </c>
      <c r="I104" s="180">
        <v>8043.05</v>
      </c>
    </row>
    <row r="105" spans="1:15" x14ac:dyDescent="0.2">
      <c r="C105" s="55">
        <v>51105</v>
      </c>
      <c r="F105" s="179" t="s">
        <v>71</v>
      </c>
      <c r="H105" s="180">
        <v>126720</v>
      </c>
      <c r="I105" s="180">
        <v>126720</v>
      </c>
    </row>
    <row r="106" spans="1:15" x14ac:dyDescent="0.2">
      <c r="C106" s="55">
        <v>51107</v>
      </c>
      <c r="F106" s="179" t="s">
        <v>537</v>
      </c>
      <c r="H106" s="180">
        <v>1200</v>
      </c>
      <c r="I106" s="180">
        <v>1400</v>
      </c>
      <c r="J106" s="55" t="s">
        <v>572</v>
      </c>
    </row>
    <row r="107" spans="1:15" x14ac:dyDescent="0.2">
      <c r="C107" s="55">
        <v>51401</v>
      </c>
      <c r="F107" s="179" t="s">
        <v>556</v>
      </c>
      <c r="H107" s="180">
        <v>10872.6</v>
      </c>
      <c r="I107" s="180">
        <v>11508.71</v>
      </c>
      <c r="J107" s="190" t="s">
        <v>572</v>
      </c>
    </row>
    <row r="108" spans="1:15" x14ac:dyDescent="0.2">
      <c r="C108" s="55">
        <v>51501</v>
      </c>
      <c r="F108" s="179" t="s">
        <v>557</v>
      </c>
      <c r="H108" s="180">
        <v>9557.64</v>
      </c>
      <c r="I108" s="180">
        <v>10883.84</v>
      </c>
      <c r="J108" s="190"/>
      <c r="K108" s="180">
        <f>+I107+I115+I123</f>
        <v>38196.679999999993</v>
      </c>
      <c r="M108" s="180"/>
    </row>
    <row r="109" spans="1:15" x14ac:dyDescent="0.2">
      <c r="H109" s="181">
        <f>SUM(H103:H108)</f>
        <v>246331.89</v>
      </c>
      <c r="I109" s="187">
        <f>SUM(I103:I108)</f>
        <v>255072.2</v>
      </c>
    </row>
    <row r="110" spans="1:15" x14ac:dyDescent="0.2">
      <c r="C110" s="178" t="s">
        <v>558</v>
      </c>
      <c r="D110" s="178"/>
      <c r="E110" s="178"/>
      <c r="H110" s="180"/>
      <c r="I110" s="180"/>
    </row>
    <row r="111" spans="1:15" x14ac:dyDescent="0.2">
      <c r="C111" s="55">
        <v>51101</v>
      </c>
      <c r="F111" s="179" t="s">
        <v>35</v>
      </c>
      <c r="H111" s="180">
        <v>66588</v>
      </c>
      <c r="I111" s="180">
        <v>164470.92000000001</v>
      </c>
    </row>
    <row r="112" spans="1:15" x14ac:dyDescent="0.2">
      <c r="C112" s="55">
        <v>51103</v>
      </c>
      <c r="F112" s="179" t="s">
        <v>36</v>
      </c>
      <c r="H112" s="180">
        <v>5549</v>
      </c>
      <c r="I112" s="180">
        <v>13705.91</v>
      </c>
    </row>
    <row r="113" spans="3:13" x14ac:dyDescent="0.2">
      <c r="C113" s="55">
        <v>51105</v>
      </c>
      <c r="F113" s="179" t="s">
        <v>71</v>
      </c>
      <c r="H113" s="180"/>
      <c r="I113" s="180"/>
    </row>
    <row r="114" spans="3:13" x14ac:dyDescent="0.2">
      <c r="C114" s="55">
        <v>51107</v>
      </c>
      <c r="F114" s="179" t="s">
        <v>537</v>
      </c>
      <c r="H114" s="180">
        <v>1800</v>
      </c>
      <c r="I114" s="180">
        <v>5400</v>
      </c>
    </row>
    <row r="115" spans="3:13" x14ac:dyDescent="0.2">
      <c r="C115" s="55">
        <v>51401</v>
      </c>
      <c r="F115" s="179" t="s">
        <v>556</v>
      </c>
      <c r="H115" s="180">
        <v>5629.44</v>
      </c>
      <c r="I115" s="180">
        <v>13980.06</v>
      </c>
      <c r="J115" s="55" t="s">
        <v>572</v>
      </c>
    </row>
    <row r="116" spans="3:13" x14ac:dyDescent="0.2">
      <c r="C116" s="55">
        <v>51501</v>
      </c>
      <c r="F116" s="179" t="s">
        <v>557</v>
      </c>
      <c r="H116" s="180">
        <v>5129.16</v>
      </c>
      <c r="I116" s="180">
        <v>12746.55</v>
      </c>
    </row>
    <row r="117" spans="3:13" x14ac:dyDescent="0.2">
      <c r="H117" s="181">
        <f>SUM(H111:H116)</f>
        <v>84695.6</v>
      </c>
      <c r="I117" s="187">
        <f>SUM(I111:I116)</f>
        <v>210303.44</v>
      </c>
    </row>
    <row r="118" spans="3:13" x14ac:dyDescent="0.2">
      <c r="C118" s="178" t="s">
        <v>559</v>
      </c>
      <c r="D118" s="178"/>
      <c r="E118" s="178"/>
      <c r="H118" s="180"/>
      <c r="I118" s="180"/>
    </row>
    <row r="119" spans="3:13" x14ac:dyDescent="0.2">
      <c r="C119" s="55">
        <v>51101</v>
      </c>
      <c r="F119" s="179" t="s">
        <v>35</v>
      </c>
      <c r="H119" s="180">
        <f>+C85*12</f>
        <v>234567.84</v>
      </c>
      <c r="I119" s="180">
        <v>148927.20000000001</v>
      </c>
      <c r="J119" s="188">
        <v>72864</v>
      </c>
      <c r="K119" s="188">
        <v>76063.199999999997</v>
      </c>
      <c r="L119" s="189">
        <f>+J119+K119</f>
        <v>148927.20000000001</v>
      </c>
    </row>
    <row r="120" spans="3:13" x14ac:dyDescent="0.2">
      <c r="C120" s="55">
        <v>51103</v>
      </c>
      <c r="F120" s="179" t="s">
        <v>36</v>
      </c>
      <c r="H120" s="180">
        <v>19547.32</v>
      </c>
      <c r="I120" s="180">
        <v>12410.6</v>
      </c>
      <c r="J120" s="188">
        <v>6072</v>
      </c>
      <c r="K120" s="188">
        <v>6338.6</v>
      </c>
      <c r="L120" s="189">
        <f>+J120+K120</f>
        <v>12410.6</v>
      </c>
    </row>
    <row r="121" spans="3:13" x14ac:dyDescent="0.2">
      <c r="C121" s="55">
        <v>51105</v>
      </c>
      <c r="F121" s="179" t="s">
        <v>71</v>
      </c>
      <c r="H121" s="180"/>
      <c r="I121" s="180"/>
      <c r="J121" s="188"/>
      <c r="K121" s="188"/>
      <c r="L121" s="189"/>
    </row>
    <row r="122" spans="3:13" x14ac:dyDescent="0.2">
      <c r="C122" s="55">
        <v>51107</v>
      </c>
      <c r="F122" s="179" t="s">
        <v>537</v>
      </c>
      <c r="H122" s="180">
        <v>8800</v>
      </c>
      <c r="I122" s="180">
        <v>5000</v>
      </c>
      <c r="J122" s="188">
        <v>2000</v>
      </c>
      <c r="K122" s="188">
        <v>3000</v>
      </c>
      <c r="L122" s="189">
        <f>+J122+K122</f>
        <v>5000</v>
      </c>
    </row>
    <row r="123" spans="3:13" x14ac:dyDescent="0.2">
      <c r="C123" s="55">
        <v>51401</v>
      </c>
      <c r="F123" s="179" t="s">
        <v>556</v>
      </c>
      <c r="H123" s="180">
        <v>19023.599999999999</v>
      </c>
      <c r="I123" s="180">
        <v>12707.91</v>
      </c>
      <c r="J123" s="188">
        <v>6124.08</v>
      </c>
      <c r="K123" s="188">
        <v>6583.83</v>
      </c>
      <c r="L123" s="189">
        <f>+J123+K123</f>
        <v>12707.91</v>
      </c>
    </row>
    <row r="124" spans="3:13" x14ac:dyDescent="0.2">
      <c r="C124" s="55">
        <v>51501</v>
      </c>
      <c r="F124" s="179" t="s">
        <v>557</v>
      </c>
      <c r="H124" s="180">
        <v>15314.76</v>
      </c>
      <c r="I124" s="180">
        <v>10594.14</v>
      </c>
      <c r="J124" s="188">
        <v>5647.02</v>
      </c>
      <c r="K124" s="188">
        <v>4947.12</v>
      </c>
      <c r="L124" s="189">
        <f>+J124+K124</f>
        <v>10594.14</v>
      </c>
    </row>
    <row r="125" spans="3:13" x14ac:dyDescent="0.2">
      <c r="H125" s="181">
        <f>SUM(H119:H124)</f>
        <v>297253.52</v>
      </c>
      <c r="I125" s="187">
        <f>SUM(I119:I124)</f>
        <v>189639.85000000003</v>
      </c>
      <c r="J125" s="188">
        <f>+I109+I117+I125</f>
        <v>655015.49</v>
      </c>
      <c r="K125" s="188">
        <f>+H109+H117+H125</f>
        <v>628281.01</v>
      </c>
      <c r="L125" s="189">
        <v>659343.30000000005</v>
      </c>
      <c r="M125" s="180">
        <f>+L125-J125</f>
        <v>4327.8100000000559</v>
      </c>
    </row>
    <row r="126" spans="3:13" x14ac:dyDescent="0.2">
      <c r="C126" s="178" t="s">
        <v>560</v>
      </c>
      <c r="D126" s="178"/>
      <c r="E126" s="178"/>
      <c r="H126" s="180"/>
      <c r="I126" s="180"/>
      <c r="J126" s="188"/>
      <c r="K126" s="188"/>
      <c r="L126" s="189"/>
    </row>
    <row r="127" spans="3:13" x14ac:dyDescent="0.2">
      <c r="C127" s="55">
        <v>51101</v>
      </c>
      <c r="F127" s="179" t="s">
        <v>35</v>
      </c>
      <c r="H127" s="180">
        <v>27420</v>
      </c>
      <c r="I127" s="180">
        <v>37200</v>
      </c>
    </row>
    <row r="128" spans="3:13" x14ac:dyDescent="0.2">
      <c r="C128" s="55">
        <v>51103</v>
      </c>
      <c r="F128" s="179" t="s">
        <v>36</v>
      </c>
      <c r="H128" s="180">
        <v>0</v>
      </c>
      <c r="I128" s="180"/>
    </row>
    <row r="129" spans="3:10" x14ac:dyDescent="0.2">
      <c r="C129" s="55">
        <v>51105</v>
      </c>
      <c r="F129" s="179" t="s">
        <v>71</v>
      </c>
      <c r="H129" s="180"/>
      <c r="I129" s="180"/>
    </row>
    <row r="130" spans="3:10" x14ac:dyDescent="0.2">
      <c r="C130" s="55">
        <v>51107</v>
      </c>
      <c r="F130" s="179" t="s">
        <v>537</v>
      </c>
      <c r="H130" s="180">
        <v>0</v>
      </c>
      <c r="I130" s="180"/>
    </row>
    <row r="131" spans="3:10" x14ac:dyDescent="0.2">
      <c r="C131" s="55">
        <v>51401</v>
      </c>
      <c r="F131" s="179" t="s">
        <v>556</v>
      </c>
      <c r="H131" s="180">
        <v>2340.7199999999998</v>
      </c>
      <c r="I131" s="180">
        <v>3162</v>
      </c>
      <c r="J131" s="180"/>
    </row>
    <row r="132" spans="3:10" x14ac:dyDescent="0.2">
      <c r="C132" s="55">
        <v>51501</v>
      </c>
      <c r="F132" s="179" t="s">
        <v>557</v>
      </c>
      <c r="H132" s="180">
        <v>1764.84</v>
      </c>
      <c r="I132" s="180">
        <v>2883</v>
      </c>
    </row>
    <row r="133" spans="3:10" x14ac:dyDescent="0.2">
      <c r="H133" s="181">
        <f>SUM(H127:H132)</f>
        <v>31525.56</v>
      </c>
      <c r="I133" s="180">
        <f>+I127+I131+I132</f>
        <v>43245</v>
      </c>
    </row>
    <row r="134" spans="3:10" x14ac:dyDescent="0.2">
      <c r="C134" s="151" t="s">
        <v>561</v>
      </c>
      <c r="D134" s="151"/>
      <c r="E134" s="151"/>
      <c r="H134" s="182">
        <f>+H109+H117+H125+H133</f>
        <v>659806.57000000007</v>
      </c>
      <c r="I134" s="180"/>
    </row>
    <row r="135" spans="3:10" x14ac:dyDescent="0.2">
      <c r="H135" s="180"/>
      <c r="I135" s="180"/>
    </row>
    <row r="136" spans="3:10" x14ac:dyDescent="0.2">
      <c r="H136" s="180"/>
      <c r="I136" s="180"/>
    </row>
    <row r="137" spans="3:10" x14ac:dyDescent="0.2">
      <c r="H137" s="180"/>
      <c r="I137" s="180"/>
    </row>
  </sheetData>
  <mergeCells count="12">
    <mergeCell ref="C5:C6"/>
    <mergeCell ref="H5:H6"/>
    <mergeCell ref="I5:I6"/>
    <mergeCell ref="A99:B99"/>
    <mergeCell ref="A1:O1"/>
    <mergeCell ref="A2:O2"/>
    <mergeCell ref="A3:O3"/>
    <mergeCell ref="A4:A6"/>
    <mergeCell ref="B4:B6"/>
    <mergeCell ref="C4:G4"/>
    <mergeCell ref="H4:J4"/>
    <mergeCell ref="O4:O6"/>
  </mergeCells>
  <pageMargins left="0.7" right="0.7" top="0.75" bottom="0.75" header="0.3" footer="0.3"/>
  <pageSetup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132"/>
  <sheetViews>
    <sheetView zoomScaleNormal="100" workbookViewId="0">
      <selection activeCell="C116" sqref="C116"/>
    </sheetView>
  </sheetViews>
  <sheetFormatPr baseColWidth="10" defaultRowHeight="12.75" x14ac:dyDescent="0.2"/>
  <cols>
    <col min="1" max="1" width="7" style="55" customWidth="1"/>
    <col min="2" max="2" width="17" style="55" customWidth="1"/>
    <col min="3" max="3" width="15.140625" style="55" customWidth="1"/>
    <col min="4" max="5" width="15.140625" style="55" hidden="1" customWidth="1"/>
    <col min="6" max="6" width="15.5703125" style="55" hidden="1" customWidth="1"/>
    <col min="7" max="7" width="11.42578125" style="55" hidden="1" customWidth="1"/>
    <col min="8" max="9" width="12.85546875" style="55" hidden="1" customWidth="1"/>
    <col min="10" max="10" width="13.7109375" style="55" hidden="1" customWidth="1"/>
    <col min="11" max="11" width="15.140625" style="55" hidden="1" customWidth="1"/>
    <col min="12" max="12" width="14.5703125" style="55" customWidth="1"/>
    <col min="13" max="13" width="12" style="55" customWidth="1"/>
    <col min="14" max="14" width="15.140625" style="55" customWidth="1"/>
    <col min="15" max="15" width="16.5703125" style="55" customWidth="1"/>
    <col min="16" max="16" width="16.28515625" style="55" customWidth="1"/>
    <col min="17" max="16384" width="11.42578125" style="55"/>
  </cols>
  <sheetData>
    <row r="1" spans="1:16" ht="14.25" x14ac:dyDescent="0.2">
      <c r="A1" s="707"/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</row>
    <row r="2" spans="1:16" x14ac:dyDescent="0.2">
      <c r="A2" s="602" t="s">
        <v>372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</row>
    <row r="3" spans="1:16" ht="19.5" customHeight="1" thickBot="1" x14ac:dyDescent="0.25">
      <c r="A3" s="708" t="s">
        <v>658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</row>
    <row r="4" spans="1:16" ht="30" customHeight="1" x14ac:dyDescent="0.2">
      <c r="A4" s="712" t="s">
        <v>251</v>
      </c>
      <c r="B4" s="715" t="s">
        <v>549</v>
      </c>
      <c r="C4" s="730" t="s">
        <v>550</v>
      </c>
      <c r="D4" s="731"/>
      <c r="E4" s="731"/>
      <c r="F4" s="731"/>
      <c r="G4" s="732"/>
      <c r="H4" s="715" t="s">
        <v>252</v>
      </c>
      <c r="I4" s="715"/>
      <c r="J4" s="715"/>
      <c r="K4" s="344"/>
      <c r="L4" s="727" t="s">
        <v>255</v>
      </c>
      <c r="M4" s="728"/>
      <c r="N4" s="728"/>
      <c r="O4" s="729"/>
      <c r="P4" s="724" t="s">
        <v>644</v>
      </c>
    </row>
    <row r="5" spans="1:16" ht="12.75" customHeight="1" x14ac:dyDescent="0.2">
      <c r="A5" s="713"/>
      <c r="B5" s="716"/>
      <c r="C5" s="733"/>
      <c r="D5" s="734"/>
      <c r="E5" s="734"/>
      <c r="F5" s="734"/>
      <c r="G5" s="735"/>
      <c r="H5" s="718" t="s">
        <v>260</v>
      </c>
      <c r="I5" s="718" t="s">
        <v>282</v>
      </c>
      <c r="J5" s="342" t="s">
        <v>253</v>
      </c>
      <c r="K5" s="343" t="s">
        <v>406</v>
      </c>
      <c r="L5" s="722" t="s">
        <v>643</v>
      </c>
      <c r="M5" s="722" t="s">
        <v>405</v>
      </c>
      <c r="N5" s="722" t="s">
        <v>406</v>
      </c>
      <c r="O5" s="722" t="s">
        <v>553</v>
      </c>
      <c r="P5" s="725"/>
    </row>
    <row r="6" spans="1:16" ht="13.5" thickBot="1" x14ac:dyDescent="0.25">
      <c r="A6" s="714"/>
      <c r="B6" s="717"/>
      <c r="C6" s="736"/>
      <c r="D6" s="737"/>
      <c r="E6" s="737"/>
      <c r="F6" s="737"/>
      <c r="G6" s="738"/>
      <c r="H6" s="719"/>
      <c r="I6" s="719"/>
      <c r="J6" s="345" t="s">
        <v>554</v>
      </c>
      <c r="K6" s="345"/>
      <c r="L6" s="723"/>
      <c r="M6" s="723"/>
      <c r="N6" s="723"/>
      <c r="O6" s="723"/>
      <c r="P6" s="726"/>
    </row>
    <row r="7" spans="1:16" ht="15.95" customHeight="1" x14ac:dyDescent="0.2">
      <c r="A7" s="346">
        <v>1</v>
      </c>
      <c r="B7" s="347" t="s">
        <v>88</v>
      </c>
      <c r="C7" s="361">
        <v>2500</v>
      </c>
      <c r="D7" s="361"/>
      <c r="E7" s="361">
        <f t="shared" ref="E7:E12" si="0">SUM(C7:D7)</f>
        <v>2500</v>
      </c>
      <c r="F7" s="361">
        <v>200</v>
      </c>
      <c r="G7" s="362">
        <f t="shared" ref="G7:G12" si="1">+E7</f>
        <v>2500</v>
      </c>
      <c r="H7" s="363"/>
      <c r="I7" s="363"/>
      <c r="J7" s="363"/>
      <c r="K7" s="361"/>
      <c r="L7" s="363"/>
      <c r="M7" s="363"/>
      <c r="N7" s="363"/>
      <c r="O7" s="363">
        <f t="shared" ref="O7:O12" si="2">+C7*12</f>
        <v>30000</v>
      </c>
      <c r="P7" s="364">
        <f t="shared" ref="P7:P12" si="3">+F7+G7+M7+N7+O7</f>
        <v>32700</v>
      </c>
    </row>
    <row r="8" spans="1:16" ht="15.95" customHeight="1" x14ac:dyDescent="0.2">
      <c r="A8" s="348">
        <v>2</v>
      </c>
      <c r="B8" s="347" t="s">
        <v>88</v>
      </c>
      <c r="C8" s="361">
        <v>440</v>
      </c>
      <c r="D8" s="361"/>
      <c r="E8" s="361">
        <f t="shared" si="0"/>
        <v>440</v>
      </c>
      <c r="F8" s="361">
        <v>200</v>
      </c>
      <c r="G8" s="362">
        <f t="shared" si="1"/>
        <v>440</v>
      </c>
      <c r="H8" s="365">
        <v>33</v>
      </c>
      <c r="I8" s="365">
        <v>4.4000000000000004</v>
      </c>
      <c r="J8" s="365">
        <f>SUM(H8:I8)</f>
        <v>37.4</v>
      </c>
      <c r="K8" s="366">
        <v>34.1</v>
      </c>
      <c r="L8" s="365"/>
      <c r="M8" s="365"/>
      <c r="N8" s="365"/>
      <c r="O8" s="365">
        <f t="shared" si="2"/>
        <v>5280</v>
      </c>
      <c r="P8" s="367">
        <f t="shared" si="3"/>
        <v>5920</v>
      </c>
    </row>
    <row r="9" spans="1:16" ht="15.95" customHeight="1" x14ac:dyDescent="0.2">
      <c r="A9" s="348">
        <v>3</v>
      </c>
      <c r="B9" s="347" t="s">
        <v>88</v>
      </c>
      <c r="C9" s="361">
        <v>1800</v>
      </c>
      <c r="D9" s="361"/>
      <c r="E9" s="361">
        <f t="shared" si="0"/>
        <v>1800</v>
      </c>
      <c r="F9" s="361">
        <v>200</v>
      </c>
      <c r="G9" s="362">
        <f t="shared" si="1"/>
        <v>1800</v>
      </c>
      <c r="H9" s="365">
        <v>75</v>
      </c>
      <c r="I9" s="365"/>
      <c r="J9" s="365">
        <f>SUM(H9:I9)</f>
        <v>75</v>
      </c>
      <c r="K9" s="366"/>
      <c r="L9" s="365"/>
      <c r="M9" s="365"/>
      <c r="N9" s="365"/>
      <c r="O9" s="365">
        <f t="shared" si="2"/>
        <v>21600</v>
      </c>
      <c r="P9" s="367">
        <f t="shared" si="3"/>
        <v>23600</v>
      </c>
    </row>
    <row r="10" spans="1:16" ht="15.95" customHeight="1" x14ac:dyDescent="0.2">
      <c r="A10" s="348">
        <v>4</v>
      </c>
      <c r="B10" s="347" t="s">
        <v>88</v>
      </c>
      <c r="C10" s="361">
        <v>813.05</v>
      </c>
      <c r="D10" s="361"/>
      <c r="E10" s="361">
        <f t="shared" si="0"/>
        <v>813.05</v>
      </c>
      <c r="F10" s="361">
        <v>200</v>
      </c>
      <c r="G10" s="362">
        <f t="shared" si="1"/>
        <v>813.05</v>
      </c>
      <c r="H10" s="365">
        <v>60.98</v>
      </c>
      <c r="I10" s="365">
        <v>8.1300000000000008</v>
      </c>
      <c r="J10" s="365">
        <f>SUM(H10:I10)</f>
        <v>69.11</v>
      </c>
      <c r="K10" s="366">
        <v>63.01</v>
      </c>
      <c r="L10" s="365"/>
      <c r="M10" s="365"/>
      <c r="N10" s="365"/>
      <c r="O10" s="365">
        <f t="shared" si="2"/>
        <v>9756.5999999999985</v>
      </c>
      <c r="P10" s="367">
        <f t="shared" si="3"/>
        <v>10769.649999999998</v>
      </c>
    </row>
    <row r="11" spans="1:16" ht="22.5" customHeight="1" x14ac:dyDescent="0.2">
      <c r="A11" s="348">
        <v>5</v>
      </c>
      <c r="B11" s="347" t="s">
        <v>88</v>
      </c>
      <c r="C11" s="361">
        <v>550</v>
      </c>
      <c r="D11" s="362">
        <v>66</v>
      </c>
      <c r="E11" s="361">
        <f t="shared" si="0"/>
        <v>616</v>
      </c>
      <c r="F11" s="361">
        <v>200</v>
      </c>
      <c r="G11" s="362">
        <f t="shared" si="1"/>
        <v>616</v>
      </c>
      <c r="H11" s="365">
        <f>+E11*7.5%</f>
        <v>46.199999999999996</v>
      </c>
      <c r="I11" s="365">
        <f>+E11*1%</f>
        <v>6.16</v>
      </c>
      <c r="J11" s="365">
        <f>SUM(H11:I11)</f>
        <v>52.36</v>
      </c>
      <c r="K11" s="366">
        <f>+E11*7.75%</f>
        <v>47.74</v>
      </c>
      <c r="L11" s="365"/>
      <c r="M11" s="365"/>
      <c r="N11" s="365"/>
      <c r="O11" s="365">
        <f>+E11*12</f>
        <v>7392</v>
      </c>
      <c r="P11" s="367">
        <f t="shared" si="3"/>
        <v>8208</v>
      </c>
    </row>
    <row r="12" spans="1:16" ht="15.95" customHeight="1" x14ac:dyDescent="0.2">
      <c r="A12" s="348">
        <v>6</v>
      </c>
      <c r="B12" s="347" t="s">
        <v>88</v>
      </c>
      <c r="C12" s="361">
        <v>1500</v>
      </c>
      <c r="D12" s="361"/>
      <c r="E12" s="361">
        <f t="shared" si="0"/>
        <v>1500</v>
      </c>
      <c r="F12" s="361">
        <v>200</v>
      </c>
      <c r="G12" s="362">
        <f t="shared" si="1"/>
        <v>1500</v>
      </c>
      <c r="H12" s="365">
        <v>75</v>
      </c>
      <c r="I12" s="365">
        <v>10</v>
      </c>
      <c r="J12" s="365">
        <f>SUM(H12:I12)</f>
        <v>85</v>
      </c>
      <c r="K12" s="366">
        <v>116.25</v>
      </c>
      <c r="L12" s="365"/>
      <c r="M12" s="365"/>
      <c r="N12" s="365"/>
      <c r="O12" s="365">
        <f t="shared" si="2"/>
        <v>18000</v>
      </c>
      <c r="P12" s="367">
        <f t="shared" si="3"/>
        <v>19700</v>
      </c>
    </row>
    <row r="13" spans="1:16" ht="15.95" customHeight="1" x14ac:dyDescent="0.2">
      <c r="A13" s="519"/>
      <c r="B13" s="520"/>
      <c r="C13" s="521">
        <f>SUM(C7:C12)</f>
        <v>7603.05</v>
      </c>
      <c r="D13" s="521">
        <f>SUM(D7:D12)</f>
        <v>66</v>
      </c>
      <c r="E13" s="521">
        <f>SUM(E7:E12)</f>
        <v>7669.05</v>
      </c>
      <c r="F13" s="521">
        <f t="shared" ref="F13:P13" si="4">SUM(F7:F12)</f>
        <v>1200</v>
      </c>
      <c r="G13" s="521">
        <f t="shared" si="4"/>
        <v>7669.05</v>
      </c>
      <c r="H13" s="521">
        <f t="shared" si="4"/>
        <v>290.17999999999995</v>
      </c>
      <c r="I13" s="521">
        <f t="shared" si="4"/>
        <v>28.69</v>
      </c>
      <c r="J13" s="521">
        <f t="shared" si="4"/>
        <v>318.87</v>
      </c>
      <c r="K13" s="521">
        <f t="shared" si="4"/>
        <v>261.10000000000002</v>
      </c>
      <c r="L13" s="521"/>
      <c r="M13" s="521"/>
      <c r="N13" s="521"/>
      <c r="O13" s="521">
        <f t="shared" si="4"/>
        <v>92028.6</v>
      </c>
      <c r="P13" s="521">
        <f t="shared" si="4"/>
        <v>100897.65</v>
      </c>
    </row>
    <row r="14" spans="1:16" ht="15.95" customHeight="1" x14ac:dyDescent="0.2">
      <c r="A14" s="348">
        <v>1</v>
      </c>
      <c r="B14" s="349" t="s">
        <v>88</v>
      </c>
      <c r="C14" s="361">
        <v>880</v>
      </c>
      <c r="D14" s="361"/>
      <c r="E14" s="361">
        <f t="shared" ref="E14:E25" si="5">SUM(C14:D14)</f>
        <v>880</v>
      </c>
      <c r="F14" s="361"/>
      <c r="G14" s="366"/>
      <c r="H14" s="365"/>
      <c r="I14" s="363"/>
      <c r="J14" s="365"/>
      <c r="K14" s="365"/>
      <c r="L14" s="365"/>
      <c r="M14" s="365"/>
      <c r="N14" s="365"/>
      <c r="O14" s="365">
        <f t="shared" ref="O14:O25" si="6">+C14*12</f>
        <v>10560</v>
      </c>
      <c r="P14" s="367">
        <f t="shared" ref="P14:P25" si="7">+F14+G14+M14+N14+O14</f>
        <v>10560</v>
      </c>
    </row>
    <row r="15" spans="1:16" ht="15.95" customHeight="1" x14ac:dyDescent="0.2">
      <c r="A15" s="348">
        <v>2</v>
      </c>
      <c r="B15" s="349" t="s">
        <v>88</v>
      </c>
      <c r="C15" s="361">
        <v>880</v>
      </c>
      <c r="D15" s="361"/>
      <c r="E15" s="361">
        <f t="shared" si="5"/>
        <v>880</v>
      </c>
      <c r="F15" s="361"/>
      <c r="G15" s="366"/>
      <c r="H15" s="365"/>
      <c r="I15" s="363"/>
      <c r="J15" s="365"/>
      <c r="K15" s="365"/>
      <c r="L15" s="365"/>
      <c r="M15" s="365"/>
      <c r="N15" s="365"/>
      <c r="O15" s="365">
        <f t="shared" si="6"/>
        <v>10560</v>
      </c>
      <c r="P15" s="367">
        <f t="shared" si="7"/>
        <v>10560</v>
      </c>
    </row>
    <row r="16" spans="1:16" ht="15.95" customHeight="1" x14ac:dyDescent="0.2">
      <c r="A16" s="348">
        <v>3</v>
      </c>
      <c r="B16" s="349" t="s">
        <v>88</v>
      </c>
      <c r="C16" s="361">
        <v>880</v>
      </c>
      <c r="D16" s="361"/>
      <c r="E16" s="361">
        <f t="shared" si="5"/>
        <v>880</v>
      </c>
      <c r="F16" s="361"/>
      <c r="G16" s="366"/>
      <c r="H16" s="365">
        <v>66</v>
      </c>
      <c r="I16" s="363">
        <v>8.8000000000000007</v>
      </c>
      <c r="J16" s="365">
        <f>SUM(H16:I16)</f>
        <v>74.8</v>
      </c>
      <c r="K16" s="365">
        <v>68.2</v>
      </c>
      <c r="L16" s="365"/>
      <c r="M16" s="365"/>
      <c r="N16" s="365"/>
      <c r="O16" s="365">
        <f t="shared" si="6"/>
        <v>10560</v>
      </c>
      <c r="P16" s="367">
        <f t="shared" si="7"/>
        <v>10560</v>
      </c>
    </row>
    <row r="17" spans="1:16" ht="15.95" customHeight="1" x14ac:dyDescent="0.2">
      <c r="A17" s="348">
        <v>4</v>
      </c>
      <c r="B17" s="349" t="s">
        <v>88</v>
      </c>
      <c r="C17" s="361">
        <v>880</v>
      </c>
      <c r="D17" s="361"/>
      <c r="E17" s="361">
        <f t="shared" si="5"/>
        <v>880</v>
      </c>
      <c r="F17" s="361"/>
      <c r="G17" s="366"/>
      <c r="H17" s="365">
        <v>66</v>
      </c>
      <c r="I17" s="363">
        <v>8.8000000000000007</v>
      </c>
      <c r="J17" s="365">
        <f t="shared" ref="J17:J25" si="8">SUM(H17:I17)</f>
        <v>74.8</v>
      </c>
      <c r="K17" s="365">
        <v>68.2</v>
      </c>
      <c r="L17" s="365"/>
      <c r="M17" s="365"/>
      <c r="N17" s="365"/>
      <c r="O17" s="365">
        <f t="shared" si="6"/>
        <v>10560</v>
      </c>
      <c r="P17" s="367">
        <f t="shared" si="7"/>
        <v>10560</v>
      </c>
    </row>
    <row r="18" spans="1:16" ht="15.95" customHeight="1" x14ac:dyDescent="0.2">
      <c r="A18" s="348">
        <v>5</v>
      </c>
      <c r="B18" s="349" t="s">
        <v>88</v>
      </c>
      <c r="C18" s="361">
        <v>880</v>
      </c>
      <c r="D18" s="361"/>
      <c r="E18" s="361">
        <f t="shared" si="5"/>
        <v>880</v>
      </c>
      <c r="F18" s="361"/>
      <c r="G18" s="366"/>
      <c r="H18" s="365"/>
      <c r="I18" s="363"/>
      <c r="J18" s="365">
        <f t="shared" si="8"/>
        <v>0</v>
      </c>
      <c r="K18" s="365"/>
      <c r="L18" s="365"/>
      <c r="M18" s="365"/>
      <c r="N18" s="365"/>
      <c r="O18" s="365">
        <f t="shared" si="6"/>
        <v>10560</v>
      </c>
      <c r="P18" s="367">
        <f t="shared" si="7"/>
        <v>10560</v>
      </c>
    </row>
    <row r="19" spans="1:16" ht="15.95" customHeight="1" x14ac:dyDescent="0.2">
      <c r="A19" s="348">
        <v>6</v>
      </c>
      <c r="B19" s="349" t="s">
        <v>88</v>
      </c>
      <c r="C19" s="361">
        <v>880</v>
      </c>
      <c r="D19" s="361"/>
      <c r="E19" s="361">
        <f t="shared" si="5"/>
        <v>880</v>
      </c>
      <c r="F19" s="361"/>
      <c r="G19" s="366"/>
      <c r="H19" s="365"/>
      <c r="I19" s="363"/>
      <c r="J19" s="365">
        <f t="shared" si="8"/>
        <v>0</v>
      </c>
      <c r="K19" s="365"/>
      <c r="L19" s="365"/>
      <c r="M19" s="365"/>
      <c r="N19" s="365"/>
      <c r="O19" s="365">
        <f t="shared" si="6"/>
        <v>10560</v>
      </c>
      <c r="P19" s="367">
        <f t="shared" si="7"/>
        <v>10560</v>
      </c>
    </row>
    <row r="20" spans="1:16" ht="15.95" customHeight="1" x14ac:dyDescent="0.2">
      <c r="A20" s="348">
        <v>7</v>
      </c>
      <c r="B20" s="349" t="s">
        <v>88</v>
      </c>
      <c r="C20" s="361">
        <v>880</v>
      </c>
      <c r="D20" s="361"/>
      <c r="E20" s="361">
        <f t="shared" si="5"/>
        <v>880</v>
      </c>
      <c r="F20" s="361"/>
      <c r="G20" s="366"/>
      <c r="H20" s="365">
        <v>66</v>
      </c>
      <c r="I20" s="363">
        <v>8.8000000000000007</v>
      </c>
      <c r="J20" s="365">
        <f t="shared" si="8"/>
        <v>74.8</v>
      </c>
      <c r="K20" s="365">
        <v>68.2</v>
      </c>
      <c r="L20" s="365"/>
      <c r="M20" s="365"/>
      <c r="N20" s="365"/>
      <c r="O20" s="365">
        <f t="shared" si="6"/>
        <v>10560</v>
      </c>
      <c r="P20" s="367">
        <f t="shared" si="7"/>
        <v>10560</v>
      </c>
    </row>
    <row r="21" spans="1:16" ht="15.95" customHeight="1" x14ac:dyDescent="0.2">
      <c r="A21" s="348">
        <v>8</v>
      </c>
      <c r="B21" s="349" t="s">
        <v>88</v>
      </c>
      <c r="C21" s="361">
        <v>880</v>
      </c>
      <c r="D21" s="361"/>
      <c r="E21" s="361">
        <f t="shared" si="5"/>
        <v>880</v>
      </c>
      <c r="F21" s="361"/>
      <c r="G21" s="366"/>
      <c r="H21" s="365">
        <v>66</v>
      </c>
      <c r="I21" s="363">
        <v>8.8000000000000007</v>
      </c>
      <c r="J21" s="365">
        <f t="shared" si="8"/>
        <v>74.8</v>
      </c>
      <c r="K21" s="365">
        <v>68.2</v>
      </c>
      <c r="L21" s="365"/>
      <c r="M21" s="365"/>
      <c r="N21" s="365"/>
      <c r="O21" s="365">
        <f t="shared" si="6"/>
        <v>10560</v>
      </c>
      <c r="P21" s="367">
        <f t="shared" si="7"/>
        <v>10560</v>
      </c>
    </row>
    <row r="22" spans="1:16" ht="15.95" customHeight="1" x14ac:dyDescent="0.2">
      <c r="A22" s="348">
        <v>9</v>
      </c>
      <c r="B22" s="349" t="s">
        <v>88</v>
      </c>
      <c r="C22" s="361">
        <v>880</v>
      </c>
      <c r="D22" s="361"/>
      <c r="E22" s="361">
        <f t="shared" si="5"/>
        <v>880</v>
      </c>
      <c r="F22" s="361"/>
      <c r="G22" s="366"/>
      <c r="H22" s="365">
        <v>66</v>
      </c>
      <c r="I22" s="363">
        <v>8.8000000000000007</v>
      </c>
      <c r="J22" s="365">
        <f t="shared" si="8"/>
        <v>74.8</v>
      </c>
      <c r="K22" s="365">
        <v>68.2</v>
      </c>
      <c r="L22" s="365"/>
      <c r="M22" s="365"/>
      <c r="N22" s="365"/>
      <c r="O22" s="365">
        <f t="shared" si="6"/>
        <v>10560</v>
      </c>
      <c r="P22" s="367">
        <f t="shared" si="7"/>
        <v>10560</v>
      </c>
    </row>
    <row r="23" spans="1:16" ht="15.95" customHeight="1" x14ac:dyDescent="0.2">
      <c r="A23" s="348">
        <v>10</v>
      </c>
      <c r="B23" s="349" t="s">
        <v>88</v>
      </c>
      <c r="C23" s="361">
        <v>880</v>
      </c>
      <c r="D23" s="361"/>
      <c r="E23" s="361">
        <f t="shared" si="5"/>
        <v>880</v>
      </c>
      <c r="F23" s="361"/>
      <c r="G23" s="366"/>
      <c r="H23" s="365">
        <v>66</v>
      </c>
      <c r="I23" s="363">
        <v>8.8000000000000007</v>
      </c>
      <c r="J23" s="365">
        <f t="shared" si="8"/>
        <v>74.8</v>
      </c>
      <c r="K23" s="365">
        <v>68.2</v>
      </c>
      <c r="L23" s="365"/>
      <c r="M23" s="365"/>
      <c r="N23" s="365"/>
      <c r="O23" s="365">
        <f t="shared" si="6"/>
        <v>10560</v>
      </c>
      <c r="P23" s="367">
        <f t="shared" si="7"/>
        <v>10560</v>
      </c>
    </row>
    <row r="24" spans="1:16" ht="15.95" customHeight="1" x14ac:dyDescent="0.2">
      <c r="A24" s="348">
        <v>11</v>
      </c>
      <c r="B24" s="349" t="s">
        <v>88</v>
      </c>
      <c r="C24" s="361">
        <v>880</v>
      </c>
      <c r="D24" s="361"/>
      <c r="E24" s="361">
        <f t="shared" si="5"/>
        <v>880</v>
      </c>
      <c r="F24" s="361"/>
      <c r="G24" s="366"/>
      <c r="H24" s="365">
        <v>66</v>
      </c>
      <c r="I24" s="363">
        <v>8.8000000000000007</v>
      </c>
      <c r="J24" s="365">
        <f t="shared" si="8"/>
        <v>74.8</v>
      </c>
      <c r="K24" s="365">
        <v>68.2</v>
      </c>
      <c r="L24" s="365"/>
      <c r="M24" s="365"/>
      <c r="N24" s="365"/>
      <c r="O24" s="365">
        <f t="shared" si="6"/>
        <v>10560</v>
      </c>
      <c r="P24" s="367">
        <f t="shared" si="7"/>
        <v>10560</v>
      </c>
    </row>
    <row r="25" spans="1:16" ht="15.95" customHeight="1" thickBot="1" x14ac:dyDescent="0.25">
      <c r="A25" s="348">
        <v>12</v>
      </c>
      <c r="B25" s="349" t="s">
        <v>88</v>
      </c>
      <c r="C25" s="361">
        <v>880</v>
      </c>
      <c r="D25" s="361"/>
      <c r="E25" s="361">
        <f t="shared" si="5"/>
        <v>880</v>
      </c>
      <c r="F25" s="361"/>
      <c r="G25" s="366"/>
      <c r="H25" s="365">
        <v>66</v>
      </c>
      <c r="I25" s="363">
        <v>8.8000000000000007</v>
      </c>
      <c r="J25" s="365">
        <f t="shared" si="8"/>
        <v>74.8</v>
      </c>
      <c r="K25" s="365">
        <v>68.2</v>
      </c>
      <c r="L25" s="365"/>
      <c r="M25" s="365"/>
      <c r="N25" s="365"/>
      <c r="O25" s="365">
        <f t="shared" si="6"/>
        <v>10560</v>
      </c>
      <c r="P25" s="367">
        <f t="shared" si="7"/>
        <v>10560</v>
      </c>
    </row>
    <row r="26" spans="1:16" ht="15.95" customHeight="1" thickBot="1" x14ac:dyDescent="0.25">
      <c r="A26" s="350"/>
      <c r="B26" s="351"/>
      <c r="C26" s="368">
        <f>SUM(C14:C25)</f>
        <v>10560</v>
      </c>
      <c r="D26" s="368">
        <f>SUM(D14:D25)</f>
        <v>0</v>
      </c>
      <c r="E26" s="368">
        <f>SUM(E14:E25)</f>
        <v>10560</v>
      </c>
      <c r="F26" s="368">
        <f t="shared" ref="F26:P26" si="9">SUM(F14:F25)</f>
        <v>0</v>
      </c>
      <c r="G26" s="368">
        <f t="shared" si="9"/>
        <v>0</v>
      </c>
      <c r="H26" s="368">
        <f t="shared" si="9"/>
        <v>528</v>
      </c>
      <c r="I26" s="368">
        <f t="shared" si="9"/>
        <v>70.399999999999991</v>
      </c>
      <c r="J26" s="368">
        <f t="shared" si="9"/>
        <v>598.4</v>
      </c>
      <c r="K26" s="368">
        <f t="shared" si="9"/>
        <v>545.6</v>
      </c>
      <c r="L26" s="368"/>
      <c r="M26" s="368"/>
      <c r="N26" s="368"/>
      <c r="O26" s="368">
        <f t="shared" si="9"/>
        <v>126720</v>
      </c>
      <c r="P26" s="369">
        <f t="shared" si="9"/>
        <v>126720</v>
      </c>
    </row>
    <row r="27" spans="1:16" ht="15.95" customHeight="1" x14ac:dyDescent="0.2">
      <c r="A27" s="348"/>
      <c r="B27" s="347"/>
      <c r="C27" s="361">
        <f>+C13+C26</f>
        <v>18163.05</v>
      </c>
      <c r="D27" s="361">
        <v>0</v>
      </c>
      <c r="E27" s="361">
        <f t="shared" ref="E27:K27" si="10">+E13+E26</f>
        <v>18229.05</v>
      </c>
      <c r="F27" s="361">
        <f t="shared" si="10"/>
        <v>1200</v>
      </c>
      <c r="G27" s="361">
        <f t="shared" si="10"/>
        <v>7669.05</v>
      </c>
      <c r="H27" s="361">
        <f t="shared" si="10"/>
        <v>818.18</v>
      </c>
      <c r="I27" s="361">
        <f t="shared" si="10"/>
        <v>99.089999999999989</v>
      </c>
      <c r="J27" s="361">
        <f t="shared" si="10"/>
        <v>917.27</v>
      </c>
      <c r="K27" s="361">
        <f t="shared" si="10"/>
        <v>806.7</v>
      </c>
      <c r="L27" s="361"/>
      <c r="M27" s="361"/>
      <c r="N27" s="361"/>
      <c r="O27" s="361">
        <f>+O13+O26</f>
        <v>218748.6</v>
      </c>
      <c r="P27" s="364">
        <f>+P13+P26</f>
        <v>227617.65</v>
      </c>
    </row>
    <row r="28" spans="1:16" ht="15.95" customHeight="1" x14ac:dyDescent="0.2">
      <c r="A28" s="348">
        <v>7</v>
      </c>
      <c r="B28" s="347" t="s">
        <v>369</v>
      </c>
      <c r="C28" s="361">
        <v>1000</v>
      </c>
      <c r="D28" s="361"/>
      <c r="E28" s="361">
        <f t="shared" ref="E28:E36" si="11">SUM(C28:D28)</f>
        <v>1000</v>
      </c>
      <c r="F28" s="361">
        <v>200</v>
      </c>
      <c r="G28" s="362">
        <f t="shared" ref="G28:G36" si="12">+E28</f>
        <v>1000</v>
      </c>
      <c r="H28" s="365">
        <v>75</v>
      </c>
      <c r="I28" s="365">
        <v>10</v>
      </c>
      <c r="J28" s="365">
        <f t="shared" ref="J28:J36" si="13">SUM(H28:I28)</f>
        <v>85</v>
      </c>
      <c r="K28" s="366">
        <v>77.5</v>
      </c>
      <c r="L28" s="365"/>
      <c r="M28" s="365"/>
      <c r="N28" s="365"/>
      <c r="O28" s="365">
        <f t="shared" ref="O28:O36" si="14">+C28*12</f>
        <v>12000</v>
      </c>
      <c r="P28" s="367">
        <f t="shared" ref="P28:P36" si="15">+F28+G28+M28+N28+O28</f>
        <v>13200</v>
      </c>
    </row>
    <row r="29" spans="1:16" ht="15.95" customHeight="1" x14ac:dyDescent="0.2">
      <c r="A29" s="348">
        <v>8</v>
      </c>
      <c r="B29" s="347" t="s">
        <v>369</v>
      </c>
      <c r="C29" s="361">
        <v>825</v>
      </c>
      <c r="D29" s="361"/>
      <c r="E29" s="361">
        <f t="shared" si="11"/>
        <v>825</v>
      </c>
      <c r="F29" s="361">
        <v>200</v>
      </c>
      <c r="G29" s="362">
        <f t="shared" si="12"/>
        <v>825</v>
      </c>
      <c r="H29" s="365">
        <v>61.88</v>
      </c>
      <c r="I29" s="365">
        <v>8.25</v>
      </c>
      <c r="J29" s="365">
        <f t="shared" si="13"/>
        <v>70.13</v>
      </c>
      <c r="K29" s="366">
        <v>63.94</v>
      </c>
      <c r="L29" s="365"/>
      <c r="M29" s="365"/>
      <c r="N29" s="365"/>
      <c r="O29" s="365">
        <f t="shared" si="14"/>
        <v>9900</v>
      </c>
      <c r="P29" s="367">
        <f t="shared" si="15"/>
        <v>10925</v>
      </c>
    </row>
    <row r="30" spans="1:16" ht="15.95" customHeight="1" x14ac:dyDescent="0.2">
      <c r="A30" s="348">
        <v>9</v>
      </c>
      <c r="B30" s="347" t="s">
        <v>369</v>
      </c>
      <c r="C30" s="361">
        <v>385</v>
      </c>
      <c r="D30" s="362">
        <v>90</v>
      </c>
      <c r="E30" s="361">
        <f t="shared" si="11"/>
        <v>475</v>
      </c>
      <c r="F30" s="361">
        <v>200</v>
      </c>
      <c r="G30" s="362">
        <f t="shared" si="12"/>
        <v>475</v>
      </c>
      <c r="H30" s="365">
        <f>+E30*7.5%</f>
        <v>35.625</v>
      </c>
      <c r="I30" s="365">
        <f>+E30*1%</f>
        <v>4.75</v>
      </c>
      <c r="J30" s="365">
        <f t="shared" si="13"/>
        <v>40.375</v>
      </c>
      <c r="K30" s="366">
        <f>+E30*7.75%</f>
        <v>36.8125</v>
      </c>
      <c r="L30" s="365"/>
      <c r="M30" s="365"/>
      <c r="N30" s="365"/>
      <c r="O30" s="365">
        <f t="shared" si="14"/>
        <v>4620</v>
      </c>
      <c r="P30" s="367">
        <f t="shared" si="15"/>
        <v>5295</v>
      </c>
    </row>
    <row r="31" spans="1:16" ht="15.95" customHeight="1" x14ac:dyDescent="0.2">
      <c r="A31" s="348">
        <v>10</v>
      </c>
      <c r="B31" s="347" t="s">
        <v>369</v>
      </c>
      <c r="C31" s="361">
        <v>770</v>
      </c>
      <c r="D31" s="361"/>
      <c r="E31" s="361">
        <f t="shared" si="11"/>
        <v>770</v>
      </c>
      <c r="F31" s="361">
        <v>200</v>
      </c>
      <c r="G31" s="362">
        <f t="shared" si="12"/>
        <v>770</v>
      </c>
      <c r="H31" s="365">
        <v>57.75</v>
      </c>
      <c r="I31" s="365">
        <v>7.7</v>
      </c>
      <c r="J31" s="365">
        <f t="shared" si="13"/>
        <v>65.45</v>
      </c>
      <c r="K31" s="366">
        <v>59.68</v>
      </c>
      <c r="L31" s="365"/>
      <c r="M31" s="365"/>
      <c r="N31" s="365"/>
      <c r="O31" s="365">
        <f t="shared" si="14"/>
        <v>9240</v>
      </c>
      <c r="P31" s="367">
        <f t="shared" si="15"/>
        <v>10210</v>
      </c>
    </row>
    <row r="32" spans="1:16" ht="15.95" customHeight="1" x14ac:dyDescent="0.2">
      <c r="A32" s="348">
        <v>11</v>
      </c>
      <c r="B32" s="347" t="s">
        <v>369</v>
      </c>
      <c r="C32" s="361">
        <v>400</v>
      </c>
      <c r="D32" s="361"/>
      <c r="E32" s="361">
        <f t="shared" si="11"/>
        <v>400</v>
      </c>
      <c r="F32" s="361">
        <v>200</v>
      </c>
      <c r="G32" s="362">
        <f t="shared" si="12"/>
        <v>400</v>
      </c>
      <c r="H32" s="365">
        <v>30</v>
      </c>
      <c r="I32" s="365">
        <v>4</v>
      </c>
      <c r="J32" s="365">
        <f t="shared" si="13"/>
        <v>34</v>
      </c>
      <c r="K32" s="366">
        <v>31</v>
      </c>
      <c r="L32" s="365"/>
      <c r="M32" s="365"/>
      <c r="N32" s="365"/>
      <c r="O32" s="365">
        <f t="shared" si="14"/>
        <v>4800</v>
      </c>
      <c r="P32" s="367">
        <f t="shared" si="15"/>
        <v>5400</v>
      </c>
    </row>
    <row r="33" spans="1:16" ht="15.95" customHeight="1" x14ac:dyDescent="0.2">
      <c r="A33" s="348">
        <v>12</v>
      </c>
      <c r="B33" s="347" t="s">
        <v>369</v>
      </c>
      <c r="C33" s="361">
        <v>400</v>
      </c>
      <c r="D33" s="361"/>
      <c r="E33" s="361">
        <f t="shared" si="11"/>
        <v>400</v>
      </c>
      <c r="F33" s="361">
        <v>200</v>
      </c>
      <c r="G33" s="362">
        <f t="shared" si="12"/>
        <v>400</v>
      </c>
      <c r="H33" s="365">
        <v>30</v>
      </c>
      <c r="I33" s="365">
        <v>4</v>
      </c>
      <c r="J33" s="365">
        <f t="shared" si="13"/>
        <v>34</v>
      </c>
      <c r="K33" s="366">
        <v>31</v>
      </c>
      <c r="L33" s="365"/>
      <c r="M33" s="365"/>
      <c r="N33" s="365"/>
      <c r="O33" s="365">
        <f t="shared" si="14"/>
        <v>4800</v>
      </c>
      <c r="P33" s="367">
        <f t="shared" si="15"/>
        <v>5400</v>
      </c>
    </row>
    <row r="34" spans="1:16" ht="15.95" customHeight="1" x14ac:dyDescent="0.2">
      <c r="A34" s="348">
        <v>13</v>
      </c>
      <c r="B34" s="347" t="s">
        <v>369</v>
      </c>
      <c r="C34" s="361">
        <v>500</v>
      </c>
      <c r="D34" s="361"/>
      <c r="E34" s="361">
        <f t="shared" si="11"/>
        <v>500</v>
      </c>
      <c r="F34" s="361">
        <v>200</v>
      </c>
      <c r="G34" s="362">
        <f t="shared" si="12"/>
        <v>500</v>
      </c>
      <c r="H34" s="365">
        <v>37.5</v>
      </c>
      <c r="I34" s="365">
        <v>5</v>
      </c>
      <c r="J34" s="365">
        <f t="shared" si="13"/>
        <v>42.5</v>
      </c>
      <c r="K34" s="366">
        <v>38.75</v>
      </c>
      <c r="L34" s="365"/>
      <c r="M34" s="365"/>
      <c r="N34" s="365"/>
      <c r="O34" s="365">
        <f t="shared" si="14"/>
        <v>6000</v>
      </c>
      <c r="P34" s="367">
        <f t="shared" si="15"/>
        <v>6700</v>
      </c>
    </row>
    <row r="35" spans="1:16" ht="15.95" customHeight="1" x14ac:dyDescent="0.2">
      <c r="A35" s="348">
        <v>14</v>
      </c>
      <c r="B35" s="347" t="s">
        <v>369</v>
      </c>
      <c r="C35" s="361">
        <v>1034</v>
      </c>
      <c r="D35" s="361"/>
      <c r="E35" s="361">
        <f t="shared" si="11"/>
        <v>1034</v>
      </c>
      <c r="F35" s="361">
        <v>200</v>
      </c>
      <c r="G35" s="362">
        <f t="shared" si="12"/>
        <v>1034</v>
      </c>
      <c r="H35" s="365">
        <v>75</v>
      </c>
      <c r="I35" s="365">
        <v>10.34</v>
      </c>
      <c r="J35" s="365">
        <f t="shared" si="13"/>
        <v>85.34</v>
      </c>
      <c r="K35" s="366">
        <v>77.5</v>
      </c>
      <c r="L35" s="365"/>
      <c r="M35" s="365"/>
      <c r="N35" s="365"/>
      <c r="O35" s="365">
        <f t="shared" si="14"/>
        <v>12408</v>
      </c>
      <c r="P35" s="367">
        <f t="shared" si="15"/>
        <v>13642</v>
      </c>
    </row>
    <row r="36" spans="1:16" ht="15.95" customHeight="1" x14ac:dyDescent="0.2">
      <c r="A36" s="348">
        <v>15</v>
      </c>
      <c r="B36" s="347" t="s">
        <v>369</v>
      </c>
      <c r="C36" s="361">
        <v>385</v>
      </c>
      <c r="D36" s="362">
        <v>65</v>
      </c>
      <c r="E36" s="361">
        <f t="shared" si="11"/>
        <v>450</v>
      </c>
      <c r="F36" s="361">
        <v>200</v>
      </c>
      <c r="G36" s="362">
        <f t="shared" si="12"/>
        <v>450</v>
      </c>
      <c r="H36" s="365">
        <f>+E36*7.5%</f>
        <v>33.75</v>
      </c>
      <c r="I36" s="365">
        <f>+E36*1%</f>
        <v>4.5</v>
      </c>
      <c r="J36" s="370">
        <f t="shared" si="13"/>
        <v>38.25</v>
      </c>
      <c r="K36" s="366">
        <f>+E36*7.75%</f>
        <v>34.875</v>
      </c>
      <c r="L36" s="365"/>
      <c r="M36" s="365"/>
      <c r="N36" s="365"/>
      <c r="O36" s="365">
        <f t="shared" si="14"/>
        <v>4620</v>
      </c>
      <c r="P36" s="367">
        <f t="shared" si="15"/>
        <v>5270</v>
      </c>
    </row>
    <row r="37" spans="1:16" ht="15.95" customHeight="1" x14ac:dyDescent="0.2">
      <c r="A37" s="348"/>
      <c r="B37" s="347"/>
      <c r="C37" s="361">
        <f>SUM(C28:C36)</f>
        <v>5699</v>
      </c>
      <c r="D37" s="361">
        <f>SUM(D28:D36)</f>
        <v>155</v>
      </c>
      <c r="E37" s="361">
        <f>SUM(E28:E36)</f>
        <v>5854</v>
      </c>
      <c r="F37" s="361">
        <f t="shared" ref="F37:P37" si="16">SUM(F28:F36)</f>
        <v>1800</v>
      </c>
      <c r="G37" s="361">
        <f t="shared" si="16"/>
        <v>5854</v>
      </c>
      <c r="H37" s="361">
        <f t="shared" si="16"/>
        <v>436.505</v>
      </c>
      <c r="I37" s="361">
        <f t="shared" si="16"/>
        <v>58.540000000000006</v>
      </c>
      <c r="J37" s="361">
        <f t="shared" si="16"/>
        <v>495.04499999999996</v>
      </c>
      <c r="K37" s="361">
        <f t="shared" si="16"/>
        <v>451.0575</v>
      </c>
      <c r="L37" s="361"/>
      <c r="M37" s="361"/>
      <c r="N37" s="361"/>
      <c r="O37" s="361">
        <f t="shared" si="16"/>
        <v>68388</v>
      </c>
      <c r="P37" s="364">
        <f t="shared" si="16"/>
        <v>76042</v>
      </c>
    </row>
    <row r="38" spans="1:16" ht="15.95" customHeight="1" x14ac:dyDescent="0.2">
      <c r="A38" s="348"/>
      <c r="B38" s="347"/>
      <c r="C38" s="361"/>
      <c r="D38" s="361"/>
      <c r="E38" s="361"/>
      <c r="F38" s="361"/>
      <c r="G38" s="361"/>
      <c r="H38" s="365"/>
      <c r="I38" s="365"/>
      <c r="J38" s="365"/>
      <c r="K38" s="366"/>
      <c r="L38" s="365"/>
      <c r="M38" s="365"/>
      <c r="N38" s="365"/>
      <c r="O38" s="365"/>
      <c r="P38" s="367"/>
    </row>
    <row r="39" spans="1:16" ht="15.95" customHeight="1" x14ac:dyDescent="0.2">
      <c r="A39" s="348">
        <v>16</v>
      </c>
      <c r="B39" s="347" t="s">
        <v>221</v>
      </c>
      <c r="C39" s="361">
        <v>825</v>
      </c>
      <c r="D39" s="361"/>
      <c r="E39" s="361">
        <f t="shared" ref="E39:E82" si="17">SUM(C39:D39)</f>
        <v>825</v>
      </c>
      <c r="F39" s="361">
        <v>200</v>
      </c>
      <c r="G39" s="362">
        <f t="shared" ref="G39:G82" si="18">+E39</f>
        <v>825</v>
      </c>
      <c r="H39" s="365">
        <v>61.88</v>
      </c>
      <c r="I39" s="365">
        <v>8.25</v>
      </c>
      <c r="J39" s="365">
        <f t="shared" ref="J39:J82" si="19">SUM(H39:I39)</f>
        <v>70.13</v>
      </c>
      <c r="K39" s="366">
        <v>63.94</v>
      </c>
      <c r="L39" s="365"/>
      <c r="M39" s="365"/>
      <c r="N39" s="365"/>
      <c r="O39" s="365">
        <f t="shared" ref="O39:O82" si="20">+C39*12</f>
        <v>9900</v>
      </c>
      <c r="P39" s="367">
        <f t="shared" ref="P39:P82" si="21">+F39+G39+M39+N39+O39</f>
        <v>10925</v>
      </c>
    </row>
    <row r="40" spans="1:16" ht="15.95" customHeight="1" x14ac:dyDescent="0.2">
      <c r="A40" s="348">
        <v>17</v>
      </c>
      <c r="B40" s="347" t="s">
        <v>221</v>
      </c>
      <c r="C40" s="361">
        <v>687.5</v>
      </c>
      <c r="D40" s="361"/>
      <c r="E40" s="361">
        <f t="shared" si="17"/>
        <v>687.5</v>
      </c>
      <c r="F40" s="361">
        <v>200</v>
      </c>
      <c r="G40" s="362">
        <f t="shared" si="18"/>
        <v>687.5</v>
      </c>
      <c r="H40" s="365">
        <v>51.56</v>
      </c>
      <c r="I40" s="365">
        <v>6.88</v>
      </c>
      <c r="J40" s="365">
        <f t="shared" si="19"/>
        <v>58.440000000000005</v>
      </c>
      <c r="K40" s="366">
        <v>53.28</v>
      </c>
      <c r="L40" s="365"/>
      <c r="M40" s="365"/>
      <c r="N40" s="365"/>
      <c r="O40" s="365">
        <f t="shared" si="20"/>
        <v>8250</v>
      </c>
      <c r="P40" s="367">
        <f t="shared" si="21"/>
        <v>9137.5</v>
      </c>
    </row>
    <row r="41" spans="1:16" ht="15.95" customHeight="1" x14ac:dyDescent="0.2">
      <c r="A41" s="348">
        <v>18</v>
      </c>
      <c r="B41" s="347" t="s">
        <v>221</v>
      </c>
      <c r="C41" s="361">
        <v>400</v>
      </c>
      <c r="D41" s="362">
        <v>15</v>
      </c>
      <c r="E41" s="361">
        <f t="shared" si="17"/>
        <v>415</v>
      </c>
      <c r="F41" s="361">
        <v>200</v>
      </c>
      <c r="G41" s="362">
        <f t="shared" si="18"/>
        <v>415</v>
      </c>
      <c r="H41" s="365">
        <f>+E41*7.5%</f>
        <v>31.125</v>
      </c>
      <c r="I41" s="365">
        <f>+E41*1%</f>
        <v>4.1500000000000004</v>
      </c>
      <c r="J41" s="370">
        <f t="shared" si="19"/>
        <v>35.274999999999999</v>
      </c>
      <c r="K41" s="366">
        <f>+E41*7.75%</f>
        <v>32.162500000000001</v>
      </c>
      <c r="L41" s="365"/>
      <c r="M41" s="365"/>
      <c r="N41" s="365"/>
      <c r="O41" s="365">
        <f t="shared" si="20"/>
        <v>4800</v>
      </c>
      <c r="P41" s="367">
        <f t="shared" si="21"/>
        <v>5415</v>
      </c>
    </row>
    <row r="42" spans="1:16" ht="15.95" customHeight="1" x14ac:dyDescent="0.2">
      <c r="A42" s="348">
        <v>19</v>
      </c>
      <c r="B42" s="347" t="s">
        <v>221</v>
      </c>
      <c r="C42" s="361">
        <v>385</v>
      </c>
      <c r="D42" s="362">
        <v>90</v>
      </c>
      <c r="E42" s="361">
        <f t="shared" si="17"/>
        <v>475</v>
      </c>
      <c r="F42" s="361">
        <v>200</v>
      </c>
      <c r="G42" s="362">
        <f t="shared" si="18"/>
        <v>475</v>
      </c>
      <c r="H42" s="365">
        <f>+E42*7.5%</f>
        <v>35.625</v>
      </c>
      <c r="I42" s="365">
        <f>+E42*1%</f>
        <v>4.75</v>
      </c>
      <c r="J42" s="370">
        <f t="shared" si="19"/>
        <v>40.375</v>
      </c>
      <c r="K42" s="366">
        <f>+E42*7.75%</f>
        <v>36.8125</v>
      </c>
      <c r="L42" s="365"/>
      <c r="M42" s="365"/>
      <c r="N42" s="365"/>
      <c r="O42" s="365">
        <f t="shared" si="20"/>
        <v>4620</v>
      </c>
      <c r="P42" s="367">
        <f t="shared" si="21"/>
        <v>5295</v>
      </c>
    </row>
    <row r="43" spans="1:16" ht="15.95" customHeight="1" x14ac:dyDescent="0.2">
      <c r="A43" s="348">
        <v>20</v>
      </c>
      <c r="B43" s="347" t="s">
        <v>221</v>
      </c>
      <c r="C43" s="361">
        <v>400</v>
      </c>
      <c r="D43" s="362">
        <v>15</v>
      </c>
      <c r="E43" s="361">
        <f t="shared" si="17"/>
        <v>415</v>
      </c>
      <c r="F43" s="361">
        <v>200</v>
      </c>
      <c r="G43" s="362">
        <f t="shared" si="18"/>
        <v>415</v>
      </c>
      <c r="H43" s="365">
        <f>+E43*7.5%</f>
        <v>31.125</v>
      </c>
      <c r="I43" s="365">
        <f>+E43*1%</f>
        <v>4.1500000000000004</v>
      </c>
      <c r="J43" s="370">
        <f t="shared" si="19"/>
        <v>35.274999999999999</v>
      </c>
      <c r="K43" s="366">
        <f>+E43*7.75%</f>
        <v>32.162500000000001</v>
      </c>
      <c r="L43" s="365"/>
      <c r="M43" s="365"/>
      <c r="N43" s="365"/>
      <c r="O43" s="365">
        <f t="shared" si="20"/>
        <v>4800</v>
      </c>
      <c r="P43" s="367">
        <f t="shared" si="21"/>
        <v>5415</v>
      </c>
    </row>
    <row r="44" spans="1:16" ht="15.95" customHeight="1" x14ac:dyDescent="0.2">
      <c r="A44" s="348">
        <v>21</v>
      </c>
      <c r="B44" s="347" t="s">
        <v>221</v>
      </c>
      <c r="C44" s="361">
        <v>449.19</v>
      </c>
      <c r="D44" s="361"/>
      <c r="E44" s="361">
        <f t="shared" si="17"/>
        <v>449.19</v>
      </c>
      <c r="F44" s="361">
        <v>200</v>
      </c>
      <c r="G44" s="362">
        <f t="shared" si="18"/>
        <v>449.19</v>
      </c>
      <c r="H44" s="365">
        <v>33.69</v>
      </c>
      <c r="I44" s="365">
        <v>4.49</v>
      </c>
      <c r="J44" s="365">
        <f t="shared" si="19"/>
        <v>38.18</v>
      </c>
      <c r="K44" s="366">
        <v>34.81</v>
      </c>
      <c r="L44" s="365"/>
      <c r="M44" s="365"/>
      <c r="N44" s="365"/>
      <c r="O44" s="365">
        <f t="shared" si="20"/>
        <v>5390.28</v>
      </c>
      <c r="P44" s="367">
        <f t="shared" si="21"/>
        <v>6039.4699999999993</v>
      </c>
    </row>
    <row r="45" spans="1:16" ht="15.95" customHeight="1" x14ac:dyDescent="0.2">
      <c r="A45" s="348">
        <v>22</v>
      </c>
      <c r="B45" s="347" t="s">
        <v>221</v>
      </c>
      <c r="C45" s="361">
        <v>936</v>
      </c>
      <c r="D45" s="361"/>
      <c r="E45" s="361">
        <f t="shared" si="17"/>
        <v>936</v>
      </c>
      <c r="F45" s="361">
        <v>200</v>
      </c>
      <c r="G45" s="362">
        <f t="shared" si="18"/>
        <v>936</v>
      </c>
      <c r="H45" s="365">
        <v>70.2</v>
      </c>
      <c r="I45" s="365">
        <v>9.36</v>
      </c>
      <c r="J45" s="365">
        <f t="shared" si="19"/>
        <v>79.56</v>
      </c>
      <c r="K45" s="366">
        <v>72.540000000000006</v>
      </c>
      <c r="L45" s="365"/>
      <c r="M45" s="365"/>
      <c r="N45" s="365"/>
      <c r="O45" s="365">
        <f t="shared" si="20"/>
        <v>11232</v>
      </c>
      <c r="P45" s="367">
        <f t="shared" si="21"/>
        <v>12368</v>
      </c>
    </row>
    <row r="46" spans="1:16" ht="15.95" customHeight="1" x14ac:dyDescent="0.2">
      <c r="A46" s="348">
        <v>23</v>
      </c>
      <c r="B46" s="347" t="s">
        <v>221</v>
      </c>
      <c r="C46" s="361">
        <v>343.98</v>
      </c>
      <c r="D46" s="362">
        <v>56.02</v>
      </c>
      <c r="E46" s="361">
        <f t="shared" si="17"/>
        <v>400</v>
      </c>
      <c r="F46" s="361">
        <v>200</v>
      </c>
      <c r="G46" s="362">
        <f t="shared" si="18"/>
        <v>400</v>
      </c>
      <c r="H46" s="365">
        <f>+E46*7.5%</f>
        <v>30</v>
      </c>
      <c r="I46" s="365">
        <f>+E46*1%</f>
        <v>4</v>
      </c>
      <c r="J46" s="365">
        <f t="shared" si="19"/>
        <v>34</v>
      </c>
      <c r="K46" s="366">
        <f>+E46*7.75%</f>
        <v>31</v>
      </c>
      <c r="L46" s="365"/>
      <c r="M46" s="365"/>
      <c r="N46" s="365"/>
      <c r="O46" s="365">
        <f t="shared" si="20"/>
        <v>4127.76</v>
      </c>
      <c r="P46" s="367">
        <f t="shared" si="21"/>
        <v>4727.76</v>
      </c>
    </row>
    <row r="47" spans="1:16" ht="15.95" customHeight="1" x14ac:dyDescent="0.2">
      <c r="A47" s="348">
        <v>24</v>
      </c>
      <c r="B47" s="347" t="s">
        <v>221</v>
      </c>
      <c r="C47" s="361">
        <v>417.1</v>
      </c>
      <c r="D47" s="361"/>
      <c r="E47" s="361">
        <f t="shared" si="17"/>
        <v>417.1</v>
      </c>
      <c r="F47" s="361">
        <v>200</v>
      </c>
      <c r="G47" s="362">
        <f t="shared" si="18"/>
        <v>417.1</v>
      </c>
      <c r="H47" s="365">
        <v>31.28</v>
      </c>
      <c r="I47" s="365">
        <v>4.17</v>
      </c>
      <c r="J47" s="365">
        <f t="shared" si="19"/>
        <v>35.450000000000003</v>
      </c>
      <c r="K47" s="366">
        <v>32.33</v>
      </c>
      <c r="L47" s="365"/>
      <c r="M47" s="365"/>
      <c r="N47" s="365"/>
      <c r="O47" s="365">
        <f t="shared" si="20"/>
        <v>5005.2000000000007</v>
      </c>
      <c r="P47" s="367">
        <f t="shared" si="21"/>
        <v>5622.3000000000011</v>
      </c>
    </row>
    <row r="48" spans="1:16" ht="15.95" customHeight="1" x14ac:dyDescent="0.2">
      <c r="A48" s="348">
        <v>25</v>
      </c>
      <c r="B48" s="347" t="s">
        <v>221</v>
      </c>
      <c r="C48" s="361">
        <v>687.5</v>
      </c>
      <c r="D48" s="361"/>
      <c r="E48" s="361">
        <f t="shared" si="17"/>
        <v>687.5</v>
      </c>
      <c r="F48" s="361">
        <v>200</v>
      </c>
      <c r="G48" s="362">
        <f t="shared" si="18"/>
        <v>687.5</v>
      </c>
      <c r="H48" s="365">
        <v>51.56</v>
      </c>
      <c r="I48" s="365">
        <v>6.88</v>
      </c>
      <c r="J48" s="365">
        <f t="shared" si="19"/>
        <v>58.440000000000005</v>
      </c>
      <c r="K48" s="366">
        <v>53.28</v>
      </c>
      <c r="L48" s="365"/>
      <c r="M48" s="365"/>
      <c r="N48" s="365"/>
      <c r="O48" s="365">
        <f t="shared" si="20"/>
        <v>8250</v>
      </c>
      <c r="P48" s="367">
        <f t="shared" si="21"/>
        <v>9137.5</v>
      </c>
    </row>
    <row r="49" spans="1:16" ht="15.95" customHeight="1" x14ac:dyDescent="0.2">
      <c r="A49" s="348">
        <v>26</v>
      </c>
      <c r="B49" s="347" t="s">
        <v>221</v>
      </c>
      <c r="C49" s="361">
        <v>385</v>
      </c>
      <c r="D49" s="362">
        <v>66.67</v>
      </c>
      <c r="E49" s="361">
        <f t="shared" si="17"/>
        <v>451.67</v>
      </c>
      <c r="F49" s="361">
        <v>200</v>
      </c>
      <c r="G49" s="362">
        <f t="shared" si="18"/>
        <v>451.67</v>
      </c>
      <c r="H49" s="365">
        <f>+E49*7.5%</f>
        <v>33.875250000000001</v>
      </c>
      <c r="I49" s="365">
        <f>+E49*1%</f>
        <v>4.5167000000000002</v>
      </c>
      <c r="J49" s="365">
        <f t="shared" si="19"/>
        <v>38.391950000000001</v>
      </c>
      <c r="K49" s="366">
        <f>+E49*7.75%</f>
        <v>35.004424999999998</v>
      </c>
      <c r="L49" s="365"/>
      <c r="M49" s="365"/>
      <c r="N49" s="365"/>
      <c r="O49" s="365">
        <f t="shared" si="20"/>
        <v>4620</v>
      </c>
      <c r="P49" s="367">
        <f t="shared" si="21"/>
        <v>5271.67</v>
      </c>
    </row>
    <row r="50" spans="1:16" ht="15.95" customHeight="1" x14ac:dyDescent="0.2">
      <c r="A50" s="348">
        <v>27</v>
      </c>
      <c r="B50" s="347" t="s">
        <v>221</v>
      </c>
      <c r="C50" s="361">
        <v>483.62</v>
      </c>
      <c r="D50" s="361"/>
      <c r="E50" s="361">
        <f t="shared" si="17"/>
        <v>483.62</v>
      </c>
      <c r="F50" s="361">
        <v>200</v>
      </c>
      <c r="G50" s="362">
        <f t="shared" si="18"/>
        <v>483.62</v>
      </c>
      <c r="H50" s="365">
        <v>36.270000000000003</v>
      </c>
      <c r="I50" s="365">
        <v>4.84</v>
      </c>
      <c r="J50" s="365">
        <f t="shared" si="19"/>
        <v>41.11</v>
      </c>
      <c r="K50" s="366">
        <v>37.479999999999997</v>
      </c>
      <c r="L50" s="365"/>
      <c r="M50" s="365"/>
      <c r="N50" s="365"/>
      <c r="O50" s="365">
        <f t="shared" si="20"/>
        <v>5803.4400000000005</v>
      </c>
      <c r="P50" s="367">
        <f t="shared" si="21"/>
        <v>6487.06</v>
      </c>
    </row>
    <row r="51" spans="1:16" ht="15.95" customHeight="1" x14ac:dyDescent="0.2">
      <c r="A51" s="348">
        <v>28</v>
      </c>
      <c r="B51" s="347" t="s">
        <v>221</v>
      </c>
      <c r="C51" s="361">
        <v>385</v>
      </c>
      <c r="D51" s="362">
        <v>30</v>
      </c>
      <c r="E51" s="361">
        <f t="shared" si="17"/>
        <v>415</v>
      </c>
      <c r="F51" s="361">
        <v>200</v>
      </c>
      <c r="G51" s="362">
        <f t="shared" si="18"/>
        <v>415</v>
      </c>
      <c r="H51" s="365">
        <f>+E51*7.5%</f>
        <v>31.125</v>
      </c>
      <c r="I51" s="365">
        <f>+E51*1%</f>
        <v>4.1500000000000004</v>
      </c>
      <c r="J51" s="365">
        <f t="shared" si="19"/>
        <v>35.274999999999999</v>
      </c>
      <c r="K51" s="366">
        <f>+E51*7.75%</f>
        <v>32.162500000000001</v>
      </c>
      <c r="L51" s="365"/>
      <c r="M51" s="365"/>
      <c r="N51" s="365"/>
      <c r="O51" s="365">
        <f t="shared" si="20"/>
        <v>4620</v>
      </c>
      <c r="P51" s="367">
        <f t="shared" si="21"/>
        <v>5235</v>
      </c>
    </row>
    <row r="52" spans="1:16" ht="15.95" customHeight="1" x14ac:dyDescent="0.2">
      <c r="A52" s="348">
        <v>29</v>
      </c>
      <c r="B52" s="347" t="s">
        <v>221</v>
      </c>
      <c r="C52" s="361">
        <v>700</v>
      </c>
      <c r="D52" s="361"/>
      <c r="E52" s="361">
        <f t="shared" si="17"/>
        <v>700</v>
      </c>
      <c r="F52" s="361">
        <v>200</v>
      </c>
      <c r="G52" s="362">
        <f t="shared" si="18"/>
        <v>700</v>
      </c>
      <c r="H52" s="365">
        <v>52.5</v>
      </c>
      <c r="I52" s="365">
        <v>7</v>
      </c>
      <c r="J52" s="365">
        <f t="shared" si="19"/>
        <v>59.5</v>
      </c>
      <c r="K52" s="366">
        <v>54.25</v>
      </c>
      <c r="L52" s="365"/>
      <c r="M52" s="365"/>
      <c r="N52" s="365"/>
      <c r="O52" s="365">
        <f t="shared" si="20"/>
        <v>8400</v>
      </c>
      <c r="P52" s="367">
        <f t="shared" si="21"/>
        <v>9300</v>
      </c>
    </row>
    <row r="53" spans="1:16" ht="15.95" customHeight="1" x14ac:dyDescent="0.2">
      <c r="A53" s="348">
        <v>30</v>
      </c>
      <c r="B53" s="347" t="s">
        <v>221</v>
      </c>
      <c r="C53" s="361">
        <v>550</v>
      </c>
      <c r="D53" s="361"/>
      <c r="E53" s="361">
        <f t="shared" si="17"/>
        <v>550</v>
      </c>
      <c r="F53" s="361">
        <v>200</v>
      </c>
      <c r="G53" s="362">
        <f t="shared" si="18"/>
        <v>550</v>
      </c>
      <c r="H53" s="365">
        <v>41.25</v>
      </c>
      <c r="I53" s="365">
        <v>5.5</v>
      </c>
      <c r="J53" s="365">
        <f t="shared" si="19"/>
        <v>46.75</v>
      </c>
      <c r="K53" s="366">
        <v>42.63</v>
      </c>
      <c r="L53" s="365"/>
      <c r="M53" s="365"/>
      <c r="N53" s="365"/>
      <c r="O53" s="365">
        <f t="shared" si="20"/>
        <v>6600</v>
      </c>
      <c r="P53" s="367">
        <f t="shared" si="21"/>
        <v>7350</v>
      </c>
    </row>
    <row r="54" spans="1:16" ht="15.95" customHeight="1" x14ac:dyDescent="0.2">
      <c r="A54" s="348">
        <v>31</v>
      </c>
      <c r="B54" s="347" t="s">
        <v>221</v>
      </c>
      <c r="C54" s="361">
        <v>594</v>
      </c>
      <c r="D54" s="361"/>
      <c r="E54" s="361">
        <f t="shared" si="17"/>
        <v>594</v>
      </c>
      <c r="F54" s="361">
        <v>200</v>
      </c>
      <c r="G54" s="362">
        <f t="shared" si="18"/>
        <v>594</v>
      </c>
      <c r="H54" s="365">
        <v>44.55</v>
      </c>
      <c r="I54" s="365">
        <v>5.94</v>
      </c>
      <c r="J54" s="365">
        <f t="shared" si="19"/>
        <v>50.489999999999995</v>
      </c>
      <c r="K54" s="366">
        <v>46.04</v>
      </c>
      <c r="L54" s="365"/>
      <c r="M54" s="365"/>
      <c r="N54" s="365"/>
      <c r="O54" s="365">
        <f t="shared" si="20"/>
        <v>7128</v>
      </c>
      <c r="P54" s="367">
        <f t="shared" si="21"/>
        <v>7922</v>
      </c>
    </row>
    <row r="55" spans="1:16" ht="15.95" customHeight="1" x14ac:dyDescent="0.2">
      <c r="A55" s="348">
        <v>32</v>
      </c>
      <c r="B55" s="347" t="s">
        <v>221</v>
      </c>
      <c r="C55" s="361">
        <v>400</v>
      </c>
      <c r="D55" s="361"/>
      <c r="E55" s="361">
        <f t="shared" si="17"/>
        <v>400</v>
      </c>
      <c r="F55" s="361">
        <v>200</v>
      </c>
      <c r="G55" s="362">
        <f t="shared" si="18"/>
        <v>400</v>
      </c>
      <c r="H55" s="365">
        <v>30</v>
      </c>
      <c r="I55" s="365">
        <v>4</v>
      </c>
      <c r="J55" s="365">
        <f t="shared" si="19"/>
        <v>34</v>
      </c>
      <c r="K55" s="366">
        <v>31</v>
      </c>
      <c r="L55" s="365"/>
      <c r="M55" s="365"/>
      <c r="N55" s="365"/>
      <c r="O55" s="365">
        <f t="shared" si="20"/>
        <v>4800</v>
      </c>
      <c r="P55" s="367">
        <f t="shared" si="21"/>
        <v>5400</v>
      </c>
    </row>
    <row r="56" spans="1:16" ht="15.95" customHeight="1" x14ac:dyDescent="0.2">
      <c r="A56" s="348">
        <v>33</v>
      </c>
      <c r="B56" s="347" t="s">
        <v>221</v>
      </c>
      <c r="C56" s="361">
        <v>1034</v>
      </c>
      <c r="D56" s="361"/>
      <c r="E56" s="361">
        <f t="shared" si="17"/>
        <v>1034</v>
      </c>
      <c r="F56" s="361">
        <v>200</v>
      </c>
      <c r="G56" s="362">
        <f t="shared" si="18"/>
        <v>1034</v>
      </c>
      <c r="H56" s="365">
        <v>75</v>
      </c>
      <c r="I56" s="365">
        <v>10</v>
      </c>
      <c r="J56" s="365">
        <f t="shared" si="19"/>
        <v>85</v>
      </c>
      <c r="K56" s="366">
        <v>77.5</v>
      </c>
      <c r="L56" s="365"/>
      <c r="M56" s="365"/>
      <c r="N56" s="365"/>
      <c r="O56" s="365">
        <f t="shared" si="20"/>
        <v>12408</v>
      </c>
      <c r="P56" s="367">
        <f t="shared" si="21"/>
        <v>13642</v>
      </c>
    </row>
    <row r="57" spans="1:16" ht="15.95" customHeight="1" x14ac:dyDescent="0.2">
      <c r="A57" s="348">
        <v>34</v>
      </c>
      <c r="B57" s="347" t="s">
        <v>221</v>
      </c>
      <c r="C57" s="361">
        <v>400</v>
      </c>
      <c r="D57" s="362">
        <v>15</v>
      </c>
      <c r="E57" s="361">
        <f t="shared" si="17"/>
        <v>415</v>
      </c>
      <c r="F57" s="361">
        <v>200</v>
      </c>
      <c r="G57" s="362">
        <f t="shared" si="18"/>
        <v>415</v>
      </c>
      <c r="H57" s="365">
        <f>+E57*7.5%</f>
        <v>31.125</v>
      </c>
      <c r="I57" s="365">
        <f>+E57*1%</f>
        <v>4.1500000000000004</v>
      </c>
      <c r="J57" s="365">
        <f t="shared" si="19"/>
        <v>35.274999999999999</v>
      </c>
      <c r="K57" s="366">
        <f>+E57*7.75%</f>
        <v>32.162500000000001</v>
      </c>
      <c r="L57" s="365"/>
      <c r="M57" s="365"/>
      <c r="N57" s="365"/>
      <c r="O57" s="365">
        <f t="shared" si="20"/>
        <v>4800</v>
      </c>
      <c r="P57" s="367">
        <f t="shared" si="21"/>
        <v>5415</v>
      </c>
    </row>
    <row r="58" spans="1:16" ht="15.95" customHeight="1" x14ac:dyDescent="0.2">
      <c r="A58" s="348">
        <v>35</v>
      </c>
      <c r="B58" s="347" t="s">
        <v>221</v>
      </c>
      <c r="C58" s="361">
        <v>400</v>
      </c>
      <c r="D58" s="362">
        <v>15</v>
      </c>
      <c r="E58" s="361">
        <f t="shared" si="17"/>
        <v>415</v>
      </c>
      <c r="F58" s="361">
        <v>200</v>
      </c>
      <c r="G58" s="362">
        <f t="shared" si="18"/>
        <v>415</v>
      </c>
      <c r="H58" s="365">
        <f>+E58*7.5%</f>
        <v>31.125</v>
      </c>
      <c r="I58" s="365">
        <f>+E58*1%</f>
        <v>4.1500000000000004</v>
      </c>
      <c r="J58" s="365">
        <f t="shared" si="19"/>
        <v>35.274999999999999</v>
      </c>
      <c r="K58" s="366">
        <f>+E58*7.75%</f>
        <v>32.162500000000001</v>
      </c>
      <c r="L58" s="365"/>
      <c r="M58" s="365"/>
      <c r="N58" s="365"/>
      <c r="O58" s="365">
        <f t="shared" si="20"/>
        <v>4800</v>
      </c>
      <c r="P58" s="367">
        <f t="shared" si="21"/>
        <v>5415</v>
      </c>
    </row>
    <row r="59" spans="1:16" ht="15.95" customHeight="1" x14ac:dyDescent="0.2">
      <c r="A59" s="348">
        <v>36</v>
      </c>
      <c r="B59" s="347" t="s">
        <v>221</v>
      </c>
      <c r="C59" s="361">
        <v>500</v>
      </c>
      <c r="D59" s="361"/>
      <c r="E59" s="361">
        <f t="shared" si="17"/>
        <v>500</v>
      </c>
      <c r="F59" s="361">
        <v>200</v>
      </c>
      <c r="G59" s="362">
        <f t="shared" si="18"/>
        <v>500</v>
      </c>
      <c r="H59" s="365">
        <v>37.5</v>
      </c>
      <c r="I59" s="365">
        <v>5</v>
      </c>
      <c r="J59" s="365">
        <f t="shared" si="19"/>
        <v>42.5</v>
      </c>
      <c r="K59" s="366">
        <v>38.75</v>
      </c>
      <c r="L59" s="365"/>
      <c r="M59" s="365"/>
      <c r="N59" s="365"/>
      <c r="O59" s="365">
        <f t="shared" si="20"/>
        <v>6000</v>
      </c>
      <c r="P59" s="367">
        <f t="shared" si="21"/>
        <v>6700</v>
      </c>
    </row>
    <row r="60" spans="1:16" ht="15.95" customHeight="1" x14ac:dyDescent="0.2">
      <c r="A60" s="348">
        <v>37</v>
      </c>
      <c r="B60" s="347" t="s">
        <v>221</v>
      </c>
      <c r="C60" s="361">
        <v>500</v>
      </c>
      <c r="D60" s="361"/>
      <c r="E60" s="361">
        <f t="shared" si="17"/>
        <v>500</v>
      </c>
      <c r="F60" s="361">
        <v>200</v>
      </c>
      <c r="G60" s="362">
        <f t="shared" si="18"/>
        <v>500</v>
      </c>
      <c r="H60" s="365">
        <v>33</v>
      </c>
      <c r="I60" s="365">
        <v>4.4000000000000004</v>
      </c>
      <c r="J60" s="365">
        <f t="shared" si="19"/>
        <v>37.4</v>
      </c>
      <c r="K60" s="366"/>
      <c r="L60" s="365"/>
      <c r="M60" s="365"/>
      <c r="N60" s="365"/>
      <c r="O60" s="365">
        <f t="shared" si="20"/>
        <v>6000</v>
      </c>
      <c r="P60" s="367">
        <f t="shared" si="21"/>
        <v>6700</v>
      </c>
    </row>
    <row r="61" spans="1:16" ht="15.95" customHeight="1" x14ac:dyDescent="0.2">
      <c r="A61" s="348">
        <v>38</v>
      </c>
      <c r="B61" s="347" t="s">
        <v>221</v>
      </c>
      <c r="C61" s="361">
        <v>385</v>
      </c>
      <c r="D61" s="362">
        <v>45</v>
      </c>
      <c r="E61" s="361">
        <f t="shared" si="17"/>
        <v>430</v>
      </c>
      <c r="F61" s="361">
        <v>200</v>
      </c>
      <c r="G61" s="362">
        <f t="shared" si="18"/>
        <v>430</v>
      </c>
      <c r="H61" s="365">
        <f t="shared" ref="H61:H72" si="22">+E61*7.5%</f>
        <v>32.25</v>
      </c>
      <c r="I61" s="365">
        <f t="shared" ref="I61:I72" si="23">+E61*1%</f>
        <v>4.3</v>
      </c>
      <c r="J61" s="365">
        <f t="shared" si="19"/>
        <v>36.549999999999997</v>
      </c>
      <c r="K61" s="366">
        <v>25.58</v>
      </c>
      <c r="L61" s="365"/>
      <c r="M61" s="365"/>
      <c r="N61" s="365"/>
      <c r="O61" s="365">
        <f t="shared" si="20"/>
        <v>4620</v>
      </c>
      <c r="P61" s="367">
        <f t="shared" si="21"/>
        <v>5250</v>
      </c>
    </row>
    <row r="62" spans="1:16" ht="15.95" customHeight="1" x14ac:dyDescent="0.2">
      <c r="A62" s="348">
        <v>39</v>
      </c>
      <c r="B62" s="347" t="s">
        <v>221</v>
      </c>
      <c r="C62" s="361">
        <v>385</v>
      </c>
      <c r="D62" s="362">
        <v>45</v>
      </c>
      <c r="E62" s="361">
        <f t="shared" si="17"/>
        <v>430</v>
      </c>
      <c r="F62" s="361">
        <v>200</v>
      </c>
      <c r="G62" s="362">
        <f t="shared" si="18"/>
        <v>430</v>
      </c>
      <c r="H62" s="365">
        <f t="shared" si="22"/>
        <v>32.25</v>
      </c>
      <c r="I62" s="365">
        <f t="shared" si="23"/>
        <v>4.3</v>
      </c>
      <c r="J62" s="365">
        <f t="shared" si="19"/>
        <v>36.549999999999997</v>
      </c>
      <c r="K62" s="366">
        <f>+E62*7.75%</f>
        <v>33.325000000000003</v>
      </c>
      <c r="L62" s="365"/>
      <c r="M62" s="365"/>
      <c r="N62" s="365"/>
      <c r="O62" s="365">
        <f t="shared" si="20"/>
        <v>4620</v>
      </c>
      <c r="P62" s="367">
        <f t="shared" si="21"/>
        <v>5250</v>
      </c>
    </row>
    <row r="63" spans="1:16" ht="15.95" customHeight="1" x14ac:dyDescent="0.2">
      <c r="A63" s="348">
        <v>40</v>
      </c>
      <c r="B63" s="347" t="s">
        <v>221</v>
      </c>
      <c r="C63" s="361">
        <v>385</v>
      </c>
      <c r="D63" s="362">
        <v>45</v>
      </c>
      <c r="E63" s="361">
        <f t="shared" si="17"/>
        <v>430</v>
      </c>
      <c r="F63" s="361">
        <v>200</v>
      </c>
      <c r="G63" s="362">
        <f t="shared" si="18"/>
        <v>430</v>
      </c>
      <c r="H63" s="365">
        <f t="shared" si="22"/>
        <v>32.25</v>
      </c>
      <c r="I63" s="365">
        <f t="shared" si="23"/>
        <v>4.3</v>
      </c>
      <c r="J63" s="365">
        <f t="shared" si="19"/>
        <v>36.549999999999997</v>
      </c>
      <c r="K63" s="366">
        <f t="shared" ref="K63:K72" si="24">+E63*7.75%</f>
        <v>33.325000000000003</v>
      </c>
      <c r="L63" s="365"/>
      <c r="M63" s="365"/>
      <c r="N63" s="365"/>
      <c r="O63" s="365">
        <f t="shared" si="20"/>
        <v>4620</v>
      </c>
      <c r="P63" s="367">
        <f t="shared" si="21"/>
        <v>5250</v>
      </c>
    </row>
    <row r="64" spans="1:16" ht="15.95" customHeight="1" x14ac:dyDescent="0.2">
      <c r="A64" s="348">
        <v>41</v>
      </c>
      <c r="B64" s="347" t="s">
        <v>221</v>
      </c>
      <c r="C64" s="361">
        <v>385</v>
      </c>
      <c r="D64" s="362">
        <v>45</v>
      </c>
      <c r="E64" s="361">
        <f t="shared" si="17"/>
        <v>430</v>
      </c>
      <c r="F64" s="361">
        <v>200</v>
      </c>
      <c r="G64" s="362">
        <f t="shared" si="18"/>
        <v>430</v>
      </c>
      <c r="H64" s="365">
        <f t="shared" si="22"/>
        <v>32.25</v>
      </c>
      <c r="I64" s="365">
        <f t="shared" si="23"/>
        <v>4.3</v>
      </c>
      <c r="J64" s="365">
        <f t="shared" si="19"/>
        <v>36.549999999999997</v>
      </c>
      <c r="K64" s="366">
        <f t="shared" si="24"/>
        <v>33.325000000000003</v>
      </c>
      <c r="L64" s="365"/>
      <c r="M64" s="365"/>
      <c r="N64" s="365"/>
      <c r="O64" s="365">
        <f t="shared" si="20"/>
        <v>4620</v>
      </c>
      <c r="P64" s="367">
        <f t="shared" si="21"/>
        <v>5250</v>
      </c>
    </row>
    <row r="65" spans="1:16" ht="15.95" customHeight="1" x14ac:dyDescent="0.2">
      <c r="A65" s="348">
        <v>42</v>
      </c>
      <c r="B65" s="347" t="s">
        <v>221</v>
      </c>
      <c r="C65" s="361">
        <v>385</v>
      </c>
      <c r="D65" s="362">
        <v>45</v>
      </c>
      <c r="E65" s="361">
        <f t="shared" si="17"/>
        <v>430</v>
      </c>
      <c r="F65" s="361">
        <v>200</v>
      </c>
      <c r="G65" s="362">
        <f t="shared" si="18"/>
        <v>430</v>
      </c>
      <c r="H65" s="365">
        <f t="shared" si="22"/>
        <v>32.25</v>
      </c>
      <c r="I65" s="365">
        <f t="shared" si="23"/>
        <v>4.3</v>
      </c>
      <c r="J65" s="365">
        <f t="shared" si="19"/>
        <v>36.549999999999997</v>
      </c>
      <c r="K65" s="366">
        <f t="shared" si="24"/>
        <v>33.325000000000003</v>
      </c>
      <c r="L65" s="365"/>
      <c r="M65" s="365"/>
      <c r="N65" s="365"/>
      <c r="O65" s="365">
        <f t="shared" si="20"/>
        <v>4620</v>
      </c>
      <c r="P65" s="367">
        <f t="shared" si="21"/>
        <v>5250</v>
      </c>
    </row>
    <row r="66" spans="1:16" ht="15.95" customHeight="1" x14ac:dyDescent="0.2">
      <c r="A66" s="348">
        <v>43</v>
      </c>
      <c r="B66" s="347" t="s">
        <v>221</v>
      </c>
      <c r="C66" s="361">
        <v>385</v>
      </c>
      <c r="D66" s="362">
        <v>70</v>
      </c>
      <c r="E66" s="361">
        <f t="shared" si="17"/>
        <v>455</v>
      </c>
      <c r="F66" s="361">
        <v>200</v>
      </c>
      <c r="G66" s="362">
        <f t="shared" si="18"/>
        <v>455</v>
      </c>
      <c r="H66" s="365">
        <f t="shared" si="22"/>
        <v>34.125</v>
      </c>
      <c r="I66" s="365">
        <f t="shared" si="23"/>
        <v>4.55</v>
      </c>
      <c r="J66" s="365">
        <f t="shared" si="19"/>
        <v>38.674999999999997</v>
      </c>
      <c r="K66" s="366">
        <f t="shared" si="24"/>
        <v>35.262500000000003</v>
      </c>
      <c r="L66" s="365"/>
      <c r="M66" s="365"/>
      <c r="N66" s="365"/>
      <c r="O66" s="365">
        <f t="shared" si="20"/>
        <v>4620</v>
      </c>
      <c r="P66" s="367">
        <f t="shared" si="21"/>
        <v>5275</v>
      </c>
    </row>
    <row r="67" spans="1:16" ht="15.95" customHeight="1" x14ac:dyDescent="0.2">
      <c r="A67" s="348">
        <v>44</v>
      </c>
      <c r="B67" s="347" t="s">
        <v>221</v>
      </c>
      <c r="C67" s="361">
        <v>385</v>
      </c>
      <c r="D67" s="362">
        <v>40</v>
      </c>
      <c r="E67" s="361">
        <f t="shared" si="17"/>
        <v>425</v>
      </c>
      <c r="F67" s="361">
        <v>200</v>
      </c>
      <c r="G67" s="362">
        <f t="shared" si="18"/>
        <v>425</v>
      </c>
      <c r="H67" s="365">
        <f t="shared" si="22"/>
        <v>31.875</v>
      </c>
      <c r="I67" s="365">
        <f t="shared" si="23"/>
        <v>4.25</v>
      </c>
      <c r="J67" s="365">
        <f t="shared" si="19"/>
        <v>36.125</v>
      </c>
      <c r="K67" s="366">
        <f t="shared" si="24"/>
        <v>32.9375</v>
      </c>
      <c r="L67" s="365"/>
      <c r="M67" s="365"/>
      <c r="N67" s="365"/>
      <c r="O67" s="365">
        <f t="shared" si="20"/>
        <v>4620</v>
      </c>
      <c r="P67" s="367">
        <f t="shared" si="21"/>
        <v>5245</v>
      </c>
    </row>
    <row r="68" spans="1:16" ht="15.95" customHeight="1" x14ac:dyDescent="0.2">
      <c r="A68" s="348">
        <v>45</v>
      </c>
      <c r="B68" s="347" t="s">
        <v>221</v>
      </c>
      <c r="C68" s="361">
        <v>385</v>
      </c>
      <c r="D68" s="362">
        <v>40</v>
      </c>
      <c r="E68" s="361">
        <f t="shared" si="17"/>
        <v>425</v>
      </c>
      <c r="F68" s="361">
        <v>200</v>
      </c>
      <c r="G68" s="362">
        <f t="shared" si="18"/>
        <v>425</v>
      </c>
      <c r="H68" s="365">
        <f t="shared" si="22"/>
        <v>31.875</v>
      </c>
      <c r="I68" s="365">
        <f t="shared" si="23"/>
        <v>4.25</v>
      </c>
      <c r="J68" s="365">
        <f t="shared" si="19"/>
        <v>36.125</v>
      </c>
      <c r="K68" s="366">
        <f t="shared" si="24"/>
        <v>32.9375</v>
      </c>
      <c r="L68" s="365"/>
      <c r="M68" s="365"/>
      <c r="N68" s="365"/>
      <c r="O68" s="365">
        <f t="shared" si="20"/>
        <v>4620</v>
      </c>
      <c r="P68" s="367">
        <f t="shared" si="21"/>
        <v>5245</v>
      </c>
    </row>
    <row r="69" spans="1:16" ht="15.95" customHeight="1" x14ac:dyDescent="0.2">
      <c r="A69" s="348">
        <v>46</v>
      </c>
      <c r="B69" s="347" t="s">
        <v>221</v>
      </c>
      <c r="C69" s="361">
        <v>385</v>
      </c>
      <c r="D69" s="362">
        <v>40</v>
      </c>
      <c r="E69" s="361">
        <f t="shared" si="17"/>
        <v>425</v>
      </c>
      <c r="F69" s="361">
        <v>200</v>
      </c>
      <c r="G69" s="362">
        <f t="shared" si="18"/>
        <v>425</v>
      </c>
      <c r="H69" s="365">
        <f t="shared" si="22"/>
        <v>31.875</v>
      </c>
      <c r="I69" s="365">
        <f t="shared" si="23"/>
        <v>4.25</v>
      </c>
      <c r="J69" s="365">
        <f t="shared" si="19"/>
        <v>36.125</v>
      </c>
      <c r="K69" s="366">
        <f t="shared" si="24"/>
        <v>32.9375</v>
      </c>
      <c r="L69" s="365"/>
      <c r="M69" s="365"/>
      <c r="N69" s="365"/>
      <c r="O69" s="365">
        <f t="shared" si="20"/>
        <v>4620</v>
      </c>
      <c r="P69" s="367">
        <f t="shared" si="21"/>
        <v>5245</v>
      </c>
    </row>
    <row r="70" spans="1:16" ht="15.95" customHeight="1" x14ac:dyDescent="0.2">
      <c r="A70" s="348">
        <v>47</v>
      </c>
      <c r="B70" s="347" t="s">
        <v>221</v>
      </c>
      <c r="C70" s="361">
        <v>385</v>
      </c>
      <c r="D70" s="362">
        <v>40</v>
      </c>
      <c r="E70" s="361">
        <f t="shared" si="17"/>
        <v>425</v>
      </c>
      <c r="F70" s="361">
        <v>200</v>
      </c>
      <c r="G70" s="362">
        <f t="shared" si="18"/>
        <v>425</v>
      </c>
      <c r="H70" s="365">
        <f t="shared" si="22"/>
        <v>31.875</v>
      </c>
      <c r="I70" s="365">
        <f t="shared" si="23"/>
        <v>4.25</v>
      </c>
      <c r="J70" s="365">
        <f t="shared" si="19"/>
        <v>36.125</v>
      </c>
      <c r="K70" s="366">
        <f t="shared" si="24"/>
        <v>32.9375</v>
      </c>
      <c r="L70" s="365"/>
      <c r="M70" s="365"/>
      <c r="N70" s="365"/>
      <c r="O70" s="365">
        <f t="shared" si="20"/>
        <v>4620</v>
      </c>
      <c r="P70" s="367">
        <f t="shared" si="21"/>
        <v>5245</v>
      </c>
    </row>
    <row r="71" spans="1:16" ht="15.95" customHeight="1" x14ac:dyDescent="0.2">
      <c r="A71" s="348">
        <v>48</v>
      </c>
      <c r="B71" s="347" t="s">
        <v>221</v>
      </c>
      <c r="C71" s="361">
        <v>385</v>
      </c>
      <c r="D71" s="362">
        <v>40</v>
      </c>
      <c r="E71" s="361">
        <f t="shared" si="17"/>
        <v>425</v>
      </c>
      <c r="F71" s="361">
        <v>200</v>
      </c>
      <c r="G71" s="362">
        <f t="shared" si="18"/>
        <v>425</v>
      </c>
      <c r="H71" s="365">
        <f t="shared" si="22"/>
        <v>31.875</v>
      </c>
      <c r="I71" s="365">
        <f t="shared" si="23"/>
        <v>4.25</v>
      </c>
      <c r="J71" s="365">
        <f t="shared" si="19"/>
        <v>36.125</v>
      </c>
      <c r="K71" s="366">
        <f t="shared" si="24"/>
        <v>32.9375</v>
      </c>
      <c r="L71" s="365"/>
      <c r="M71" s="365"/>
      <c r="N71" s="365"/>
      <c r="O71" s="365">
        <f t="shared" si="20"/>
        <v>4620</v>
      </c>
      <c r="P71" s="367">
        <f t="shared" si="21"/>
        <v>5245</v>
      </c>
    </row>
    <row r="72" spans="1:16" ht="15.95" customHeight="1" x14ac:dyDescent="0.2">
      <c r="A72" s="348">
        <v>49</v>
      </c>
      <c r="B72" s="347" t="s">
        <v>221</v>
      </c>
      <c r="C72" s="361">
        <v>385</v>
      </c>
      <c r="D72" s="362">
        <v>40</v>
      </c>
      <c r="E72" s="361">
        <f t="shared" si="17"/>
        <v>425</v>
      </c>
      <c r="F72" s="361">
        <v>200</v>
      </c>
      <c r="G72" s="362">
        <f t="shared" si="18"/>
        <v>425</v>
      </c>
      <c r="H72" s="365">
        <f t="shared" si="22"/>
        <v>31.875</v>
      </c>
      <c r="I72" s="365">
        <f t="shared" si="23"/>
        <v>4.25</v>
      </c>
      <c r="J72" s="365">
        <f t="shared" si="19"/>
        <v>36.125</v>
      </c>
      <c r="K72" s="366">
        <f t="shared" si="24"/>
        <v>32.9375</v>
      </c>
      <c r="L72" s="365"/>
      <c r="M72" s="365"/>
      <c r="N72" s="365"/>
      <c r="O72" s="365">
        <f t="shared" si="20"/>
        <v>4620</v>
      </c>
      <c r="P72" s="367">
        <f t="shared" si="21"/>
        <v>5245</v>
      </c>
    </row>
    <row r="73" spans="1:16" ht="15.95" customHeight="1" x14ac:dyDescent="0.2">
      <c r="A73" s="348">
        <v>50</v>
      </c>
      <c r="B73" s="347" t="s">
        <v>221</v>
      </c>
      <c r="C73" s="361">
        <v>519.16</v>
      </c>
      <c r="D73" s="361"/>
      <c r="E73" s="361">
        <f t="shared" si="17"/>
        <v>519.16</v>
      </c>
      <c r="F73" s="361">
        <v>200</v>
      </c>
      <c r="G73" s="362">
        <f t="shared" si="18"/>
        <v>519.16</v>
      </c>
      <c r="H73" s="365"/>
      <c r="I73" s="365"/>
      <c r="J73" s="365">
        <f t="shared" si="19"/>
        <v>0</v>
      </c>
      <c r="K73" s="366"/>
      <c r="L73" s="365"/>
      <c r="M73" s="365"/>
      <c r="N73" s="365"/>
      <c r="O73" s="365">
        <f t="shared" si="20"/>
        <v>6229.92</v>
      </c>
      <c r="P73" s="367">
        <f t="shared" si="21"/>
        <v>6949.08</v>
      </c>
    </row>
    <row r="74" spans="1:16" ht="15.95" customHeight="1" x14ac:dyDescent="0.2">
      <c r="A74" s="348">
        <v>51</v>
      </c>
      <c r="B74" s="347" t="s">
        <v>221</v>
      </c>
      <c r="C74" s="361">
        <v>385</v>
      </c>
      <c r="D74" s="362">
        <v>55</v>
      </c>
      <c r="E74" s="361">
        <f t="shared" si="17"/>
        <v>440</v>
      </c>
      <c r="F74" s="361">
        <v>200</v>
      </c>
      <c r="G74" s="362">
        <f t="shared" si="18"/>
        <v>440</v>
      </c>
      <c r="H74" s="365">
        <f>+E74*7.5%</f>
        <v>33</v>
      </c>
      <c r="I74" s="365">
        <f>+E74*1%</f>
        <v>4.4000000000000004</v>
      </c>
      <c r="J74" s="365">
        <f t="shared" si="19"/>
        <v>37.4</v>
      </c>
      <c r="K74" s="366">
        <f>+E74*7.75%</f>
        <v>34.1</v>
      </c>
      <c r="L74" s="365"/>
      <c r="M74" s="365"/>
      <c r="N74" s="365"/>
      <c r="O74" s="365">
        <f t="shared" si="20"/>
        <v>4620</v>
      </c>
      <c r="P74" s="367">
        <f t="shared" si="21"/>
        <v>5260</v>
      </c>
    </row>
    <row r="75" spans="1:16" ht="15.95" customHeight="1" x14ac:dyDescent="0.2">
      <c r="A75" s="348">
        <v>52</v>
      </c>
      <c r="B75" s="347" t="s">
        <v>221</v>
      </c>
      <c r="C75" s="361">
        <v>385</v>
      </c>
      <c r="D75" s="362">
        <v>40</v>
      </c>
      <c r="E75" s="361">
        <f t="shared" si="17"/>
        <v>425</v>
      </c>
      <c r="F75" s="361">
        <v>200</v>
      </c>
      <c r="G75" s="362">
        <f t="shared" si="18"/>
        <v>425</v>
      </c>
      <c r="H75" s="365">
        <f>+E75*7.5%</f>
        <v>31.875</v>
      </c>
      <c r="I75" s="365">
        <f>+E75*1%</f>
        <v>4.25</v>
      </c>
      <c r="J75" s="365">
        <f t="shared" si="19"/>
        <v>36.125</v>
      </c>
      <c r="K75" s="366">
        <f>+E75*7.75%</f>
        <v>32.9375</v>
      </c>
      <c r="L75" s="365"/>
      <c r="M75" s="365"/>
      <c r="N75" s="365"/>
      <c r="O75" s="365">
        <f t="shared" si="20"/>
        <v>4620</v>
      </c>
      <c r="P75" s="367">
        <f t="shared" si="21"/>
        <v>5245</v>
      </c>
    </row>
    <row r="76" spans="1:16" ht="15.95" customHeight="1" x14ac:dyDescent="0.2">
      <c r="A76" s="348">
        <v>53</v>
      </c>
      <c r="B76" s="347" t="s">
        <v>221</v>
      </c>
      <c r="C76" s="361">
        <v>400</v>
      </c>
      <c r="D76" s="362">
        <v>15</v>
      </c>
      <c r="E76" s="361">
        <f t="shared" si="17"/>
        <v>415</v>
      </c>
      <c r="F76" s="361">
        <v>200</v>
      </c>
      <c r="G76" s="362">
        <f t="shared" si="18"/>
        <v>415</v>
      </c>
      <c r="H76" s="365">
        <f>+E76*7.5%</f>
        <v>31.125</v>
      </c>
      <c r="I76" s="365">
        <f>+E76*1%</f>
        <v>4.1500000000000004</v>
      </c>
      <c r="J76" s="365">
        <f t="shared" si="19"/>
        <v>35.274999999999999</v>
      </c>
      <c r="K76" s="366">
        <f>+E76*7.75%</f>
        <v>32.162500000000001</v>
      </c>
      <c r="L76" s="365"/>
      <c r="M76" s="365"/>
      <c r="N76" s="365"/>
      <c r="O76" s="365">
        <f t="shared" si="20"/>
        <v>4800</v>
      </c>
      <c r="P76" s="367">
        <f t="shared" si="21"/>
        <v>5415</v>
      </c>
    </row>
    <row r="77" spans="1:16" ht="15.95" customHeight="1" x14ac:dyDescent="0.2">
      <c r="A77" s="348">
        <v>54</v>
      </c>
      <c r="B77" s="347" t="s">
        <v>221</v>
      </c>
      <c r="C77" s="361">
        <v>500</v>
      </c>
      <c r="D77" s="362">
        <v>60</v>
      </c>
      <c r="E77" s="361">
        <f t="shared" si="17"/>
        <v>560</v>
      </c>
      <c r="F77" s="361">
        <v>200</v>
      </c>
      <c r="G77" s="362">
        <f t="shared" si="18"/>
        <v>560</v>
      </c>
      <c r="H77" s="365">
        <f>+E77*7.5%</f>
        <v>42</v>
      </c>
      <c r="I77" s="365">
        <f>+E77*1%</f>
        <v>5.6000000000000005</v>
      </c>
      <c r="J77" s="365">
        <f t="shared" si="19"/>
        <v>47.6</v>
      </c>
      <c r="K77" s="366">
        <f>+E77*7.75%</f>
        <v>43.4</v>
      </c>
      <c r="L77" s="365"/>
      <c r="M77" s="365"/>
      <c r="N77" s="365"/>
      <c r="O77" s="365">
        <f t="shared" si="20"/>
        <v>6000</v>
      </c>
      <c r="P77" s="367">
        <f t="shared" si="21"/>
        <v>6760</v>
      </c>
    </row>
    <row r="78" spans="1:16" ht="15.95" customHeight="1" x14ac:dyDescent="0.2">
      <c r="A78" s="348">
        <v>55</v>
      </c>
      <c r="B78" s="347" t="s">
        <v>221</v>
      </c>
      <c r="C78" s="361">
        <v>400</v>
      </c>
      <c r="D78" s="362">
        <v>42.5</v>
      </c>
      <c r="E78" s="361">
        <f t="shared" si="17"/>
        <v>442.5</v>
      </c>
      <c r="F78" s="361">
        <v>200</v>
      </c>
      <c r="G78" s="362">
        <f t="shared" si="18"/>
        <v>442.5</v>
      </c>
      <c r="H78" s="365">
        <f>+E78*7.5%</f>
        <v>33.1875</v>
      </c>
      <c r="I78" s="365">
        <f>+E78*1%</f>
        <v>4.4249999999999998</v>
      </c>
      <c r="J78" s="365">
        <f t="shared" si="19"/>
        <v>37.612499999999997</v>
      </c>
      <c r="K78" s="366">
        <f>+E78*7.75%</f>
        <v>34.293750000000003</v>
      </c>
      <c r="L78" s="365"/>
      <c r="M78" s="365"/>
      <c r="N78" s="365"/>
      <c r="O78" s="365">
        <f t="shared" si="20"/>
        <v>4800</v>
      </c>
      <c r="P78" s="367">
        <f t="shared" si="21"/>
        <v>5442.5</v>
      </c>
    </row>
    <row r="79" spans="1:16" ht="15.95" customHeight="1" x14ac:dyDescent="0.2">
      <c r="A79" s="348">
        <v>56</v>
      </c>
      <c r="B79" s="347" t="s">
        <v>221</v>
      </c>
      <c r="C79" s="361">
        <v>444.44</v>
      </c>
      <c r="D79" s="361"/>
      <c r="E79" s="361">
        <f t="shared" si="17"/>
        <v>444.44</v>
      </c>
      <c r="F79" s="361">
        <v>200</v>
      </c>
      <c r="G79" s="362">
        <f t="shared" si="18"/>
        <v>444.44</v>
      </c>
      <c r="H79" s="365">
        <v>33.33</v>
      </c>
      <c r="I79" s="365">
        <v>4.4400000000000004</v>
      </c>
      <c r="J79" s="365">
        <f t="shared" si="19"/>
        <v>37.769999999999996</v>
      </c>
      <c r="K79" s="366">
        <v>34.44</v>
      </c>
      <c r="L79" s="365"/>
      <c r="M79" s="365"/>
      <c r="N79" s="365"/>
      <c r="O79" s="365">
        <f t="shared" si="20"/>
        <v>5333.28</v>
      </c>
      <c r="P79" s="367">
        <f t="shared" si="21"/>
        <v>5977.7199999999993</v>
      </c>
    </row>
    <row r="80" spans="1:16" ht="15.95" customHeight="1" x14ac:dyDescent="0.2">
      <c r="A80" s="348">
        <v>57</v>
      </c>
      <c r="B80" s="347" t="s">
        <v>221</v>
      </c>
      <c r="C80" s="361">
        <v>400</v>
      </c>
      <c r="D80" s="362">
        <v>55</v>
      </c>
      <c r="E80" s="361">
        <f t="shared" si="17"/>
        <v>455</v>
      </c>
      <c r="F80" s="361">
        <v>200</v>
      </c>
      <c r="G80" s="361">
        <f t="shared" si="18"/>
        <v>455</v>
      </c>
      <c r="H80" s="365">
        <f>+E80*7.5%</f>
        <v>34.125</v>
      </c>
      <c r="I80" s="365">
        <f>+E80*1%</f>
        <v>4.55</v>
      </c>
      <c r="J80" s="365">
        <f t="shared" si="19"/>
        <v>38.674999999999997</v>
      </c>
      <c r="K80" s="366">
        <f>+E80*7.75%</f>
        <v>35.262500000000003</v>
      </c>
      <c r="L80" s="365"/>
      <c r="M80" s="365"/>
      <c r="N80" s="365"/>
      <c r="O80" s="365">
        <f t="shared" si="20"/>
        <v>4800</v>
      </c>
      <c r="P80" s="367">
        <f t="shared" si="21"/>
        <v>5455</v>
      </c>
    </row>
    <row r="81" spans="1:16" ht="15.95" customHeight="1" x14ac:dyDescent="0.2">
      <c r="A81" s="348">
        <v>58</v>
      </c>
      <c r="B81" s="347" t="s">
        <v>221</v>
      </c>
      <c r="C81" s="361">
        <v>400</v>
      </c>
      <c r="D81" s="362">
        <v>50</v>
      </c>
      <c r="E81" s="361">
        <f t="shared" si="17"/>
        <v>450</v>
      </c>
      <c r="F81" s="361">
        <v>200</v>
      </c>
      <c r="G81" s="362">
        <f t="shared" si="18"/>
        <v>450</v>
      </c>
      <c r="H81" s="365">
        <f>+E81*7.5%</f>
        <v>33.75</v>
      </c>
      <c r="I81" s="365">
        <f>+E81*1%</f>
        <v>4.5</v>
      </c>
      <c r="J81" s="365">
        <f t="shared" si="19"/>
        <v>38.25</v>
      </c>
      <c r="K81" s="366">
        <f>+E81*7.75%</f>
        <v>34.875</v>
      </c>
      <c r="L81" s="365"/>
      <c r="M81" s="365"/>
      <c r="N81" s="365"/>
      <c r="O81" s="365">
        <f t="shared" si="20"/>
        <v>4800</v>
      </c>
      <c r="P81" s="367">
        <f t="shared" si="21"/>
        <v>5450</v>
      </c>
    </row>
    <row r="82" spans="1:16" ht="15.95" customHeight="1" x14ac:dyDescent="0.2">
      <c r="A82" s="348">
        <v>59</v>
      </c>
      <c r="B82" s="347" t="s">
        <v>221</v>
      </c>
      <c r="C82" s="361">
        <v>550</v>
      </c>
      <c r="D82" s="361"/>
      <c r="E82" s="361">
        <f t="shared" si="17"/>
        <v>550</v>
      </c>
      <c r="F82" s="361">
        <v>200</v>
      </c>
      <c r="G82" s="362">
        <f t="shared" si="18"/>
        <v>550</v>
      </c>
      <c r="H82" s="365">
        <v>41.25</v>
      </c>
      <c r="I82" s="365">
        <v>5.5</v>
      </c>
      <c r="J82" s="365">
        <f t="shared" si="19"/>
        <v>46.75</v>
      </c>
      <c r="K82" s="366">
        <v>42.63</v>
      </c>
      <c r="L82" s="365"/>
      <c r="M82" s="365"/>
      <c r="N82" s="365"/>
      <c r="O82" s="365">
        <f t="shared" si="20"/>
        <v>6600</v>
      </c>
      <c r="P82" s="367">
        <f t="shared" si="21"/>
        <v>7350</v>
      </c>
    </row>
    <row r="83" spans="1:16" ht="15.95" customHeight="1" x14ac:dyDescent="0.2">
      <c r="A83" s="348"/>
      <c r="B83" s="347"/>
      <c r="C83" s="361">
        <f>SUM(C39:C82)</f>
        <v>20866.489999999998</v>
      </c>
      <c r="D83" s="361">
        <f>SUM(D39:D82)</f>
        <v>1155.19</v>
      </c>
      <c r="E83" s="361">
        <f>SUM(E39:E82)</f>
        <v>22021.68</v>
      </c>
      <c r="F83" s="361">
        <f t="shared" ref="F83:P83" si="25">SUM(F39:F82)</f>
        <v>8800</v>
      </c>
      <c r="G83" s="361">
        <f t="shared" si="25"/>
        <v>22021.68</v>
      </c>
      <c r="H83" s="361">
        <f t="shared" si="25"/>
        <v>1605.6327499999998</v>
      </c>
      <c r="I83" s="361">
        <f t="shared" si="25"/>
        <v>214.09170000000009</v>
      </c>
      <c r="J83" s="361">
        <f t="shared" si="25"/>
        <v>1819.7244499999997</v>
      </c>
      <c r="K83" s="361">
        <f t="shared" si="25"/>
        <v>1617.3281750000003</v>
      </c>
      <c r="L83" s="361"/>
      <c r="M83" s="361"/>
      <c r="N83" s="361"/>
      <c r="O83" s="361">
        <f t="shared" si="25"/>
        <v>250397.88</v>
      </c>
      <c r="P83" s="364">
        <f t="shared" si="25"/>
        <v>281219.56</v>
      </c>
    </row>
    <row r="84" spans="1:16" ht="15.95" customHeight="1" x14ac:dyDescent="0.2">
      <c r="A84" s="348"/>
      <c r="B84" s="347"/>
      <c r="C84" s="361"/>
      <c r="D84" s="361"/>
      <c r="E84" s="361"/>
      <c r="F84" s="361"/>
      <c r="G84" s="361"/>
      <c r="H84" s="365"/>
      <c r="I84" s="365"/>
      <c r="J84" s="365"/>
      <c r="K84" s="366"/>
      <c r="L84" s="365"/>
      <c r="M84" s="365"/>
      <c r="N84" s="365"/>
      <c r="O84" s="365"/>
      <c r="P84" s="367"/>
    </row>
    <row r="85" spans="1:16" ht="15.95" customHeight="1" x14ac:dyDescent="0.2">
      <c r="A85" s="348">
        <v>60</v>
      </c>
      <c r="B85" s="347" t="s">
        <v>221</v>
      </c>
      <c r="C85" s="361">
        <v>500</v>
      </c>
      <c r="D85" s="362">
        <v>65</v>
      </c>
      <c r="E85" s="361">
        <f t="shared" ref="E85:E92" si="26">SUM(C85:D85)</f>
        <v>565</v>
      </c>
      <c r="F85" s="361">
        <v>200</v>
      </c>
      <c r="G85" s="362">
        <f t="shared" ref="G85:G92" si="27">+E85</f>
        <v>565</v>
      </c>
      <c r="H85" s="365">
        <f t="shared" ref="H85:H91" si="28">+E85*7.5%</f>
        <v>42.375</v>
      </c>
      <c r="I85" s="365">
        <f t="shared" ref="I85:I91" si="29">+E85*1%</f>
        <v>5.65</v>
      </c>
      <c r="J85" s="365">
        <f t="shared" ref="J85:J92" si="30">SUM(H85:I85)</f>
        <v>48.024999999999999</v>
      </c>
      <c r="K85" s="366">
        <f>+G85*7.75%</f>
        <v>43.787500000000001</v>
      </c>
      <c r="L85" s="365"/>
      <c r="M85" s="365"/>
      <c r="N85" s="365"/>
      <c r="O85" s="365">
        <f t="shared" ref="O85:O92" si="31">+C85*12</f>
        <v>6000</v>
      </c>
      <c r="P85" s="367">
        <f t="shared" ref="P85:P92" si="32">+F85+G85+M85+N85+O85</f>
        <v>6765</v>
      </c>
    </row>
    <row r="86" spans="1:16" ht="15.95" customHeight="1" x14ac:dyDescent="0.2">
      <c r="A86" s="348">
        <v>61</v>
      </c>
      <c r="B86" s="347" t="s">
        <v>221</v>
      </c>
      <c r="C86" s="361" t="s">
        <v>659</v>
      </c>
      <c r="D86" s="362">
        <v>40</v>
      </c>
      <c r="E86" s="361">
        <f t="shared" si="26"/>
        <v>40</v>
      </c>
      <c r="F86" s="361">
        <v>200</v>
      </c>
      <c r="G86" s="362">
        <f t="shared" si="27"/>
        <v>40</v>
      </c>
      <c r="H86" s="365">
        <f t="shared" si="28"/>
        <v>3</v>
      </c>
      <c r="I86" s="365">
        <f t="shared" si="29"/>
        <v>0.4</v>
      </c>
      <c r="J86" s="365">
        <f t="shared" si="30"/>
        <v>3.4</v>
      </c>
      <c r="K86" s="366">
        <f t="shared" ref="K86:K92" si="33">+G86*7.75%</f>
        <v>3.1</v>
      </c>
      <c r="L86" s="365"/>
      <c r="M86" s="365"/>
      <c r="N86" s="365"/>
      <c r="O86" s="365" t="e">
        <f t="shared" si="31"/>
        <v>#VALUE!</v>
      </c>
      <c r="P86" s="367" t="e">
        <f t="shared" si="32"/>
        <v>#VALUE!</v>
      </c>
    </row>
    <row r="87" spans="1:16" ht="15.95" customHeight="1" x14ac:dyDescent="0.2">
      <c r="A87" s="348">
        <v>62</v>
      </c>
      <c r="B87" s="347" t="s">
        <v>221</v>
      </c>
      <c r="C87" s="361">
        <v>385</v>
      </c>
      <c r="D87" s="362">
        <v>40</v>
      </c>
      <c r="E87" s="361">
        <f t="shared" si="26"/>
        <v>425</v>
      </c>
      <c r="F87" s="361">
        <v>200</v>
      </c>
      <c r="G87" s="362">
        <f t="shared" si="27"/>
        <v>425</v>
      </c>
      <c r="H87" s="365">
        <f t="shared" si="28"/>
        <v>31.875</v>
      </c>
      <c r="I87" s="365">
        <f t="shared" si="29"/>
        <v>4.25</v>
      </c>
      <c r="J87" s="365">
        <f t="shared" si="30"/>
        <v>36.125</v>
      </c>
      <c r="K87" s="366">
        <f t="shared" si="33"/>
        <v>32.9375</v>
      </c>
      <c r="L87" s="365"/>
      <c r="M87" s="365"/>
      <c r="N87" s="365"/>
      <c r="O87" s="365">
        <f t="shared" si="31"/>
        <v>4620</v>
      </c>
      <c r="P87" s="367">
        <f t="shared" si="32"/>
        <v>5245</v>
      </c>
    </row>
    <row r="88" spans="1:16" ht="15.95" customHeight="1" x14ac:dyDescent="0.2">
      <c r="A88" s="348">
        <v>63</v>
      </c>
      <c r="B88" s="347" t="s">
        <v>221</v>
      </c>
      <c r="C88" s="361">
        <v>385</v>
      </c>
      <c r="D88" s="362">
        <v>20</v>
      </c>
      <c r="E88" s="361">
        <f t="shared" si="26"/>
        <v>405</v>
      </c>
      <c r="F88" s="361">
        <v>200</v>
      </c>
      <c r="G88" s="362">
        <f t="shared" si="27"/>
        <v>405</v>
      </c>
      <c r="H88" s="365">
        <f t="shared" si="28"/>
        <v>30.375</v>
      </c>
      <c r="I88" s="365">
        <f t="shared" si="29"/>
        <v>4.05</v>
      </c>
      <c r="J88" s="365">
        <f t="shared" si="30"/>
        <v>34.424999999999997</v>
      </c>
      <c r="K88" s="366">
        <f t="shared" si="33"/>
        <v>31.387499999999999</v>
      </c>
      <c r="L88" s="365"/>
      <c r="M88" s="365"/>
      <c r="N88" s="365"/>
      <c r="O88" s="365">
        <f t="shared" si="31"/>
        <v>4620</v>
      </c>
      <c r="P88" s="367">
        <f t="shared" si="32"/>
        <v>5225</v>
      </c>
    </row>
    <row r="89" spans="1:16" ht="15.95" customHeight="1" x14ac:dyDescent="0.2">
      <c r="A89" s="348">
        <v>64</v>
      </c>
      <c r="B89" s="347" t="s">
        <v>221</v>
      </c>
      <c r="C89" s="361">
        <v>385</v>
      </c>
      <c r="D89" s="362">
        <v>20</v>
      </c>
      <c r="E89" s="361">
        <f t="shared" si="26"/>
        <v>405</v>
      </c>
      <c r="F89" s="361">
        <v>200</v>
      </c>
      <c r="G89" s="362">
        <f t="shared" si="27"/>
        <v>405</v>
      </c>
      <c r="H89" s="365">
        <f t="shared" si="28"/>
        <v>30.375</v>
      </c>
      <c r="I89" s="365">
        <f t="shared" si="29"/>
        <v>4.05</v>
      </c>
      <c r="J89" s="365">
        <f t="shared" si="30"/>
        <v>34.424999999999997</v>
      </c>
      <c r="K89" s="366">
        <f t="shared" si="33"/>
        <v>31.387499999999999</v>
      </c>
      <c r="L89" s="365"/>
      <c r="M89" s="365"/>
      <c r="N89" s="365"/>
      <c r="O89" s="365">
        <f t="shared" si="31"/>
        <v>4620</v>
      </c>
      <c r="P89" s="367">
        <f t="shared" si="32"/>
        <v>5225</v>
      </c>
    </row>
    <row r="90" spans="1:16" ht="15.95" customHeight="1" x14ac:dyDescent="0.2">
      <c r="A90" s="348">
        <v>65</v>
      </c>
      <c r="B90" s="347" t="s">
        <v>221</v>
      </c>
      <c r="C90" s="361">
        <v>385</v>
      </c>
      <c r="D90" s="362">
        <v>40</v>
      </c>
      <c r="E90" s="361">
        <f t="shared" si="26"/>
        <v>425</v>
      </c>
      <c r="F90" s="361">
        <v>200</v>
      </c>
      <c r="G90" s="362">
        <f t="shared" si="27"/>
        <v>425</v>
      </c>
      <c r="H90" s="365">
        <f t="shared" si="28"/>
        <v>31.875</v>
      </c>
      <c r="I90" s="365">
        <f t="shared" si="29"/>
        <v>4.25</v>
      </c>
      <c r="J90" s="365">
        <f t="shared" si="30"/>
        <v>36.125</v>
      </c>
      <c r="K90" s="366">
        <f t="shared" si="33"/>
        <v>32.9375</v>
      </c>
      <c r="L90" s="365"/>
      <c r="M90" s="365"/>
      <c r="N90" s="365"/>
      <c r="O90" s="365">
        <f t="shared" si="31"/>
        <v>4620</v>
      </c>
      <c r="P90" s="367">
        <f t="shared" si="32"/>
        <v>5245</v>
      </c>
    </row>
    <row r="91" spans="1:16" ht="15.95" customHeight="1" x14ac:dyDescent="0.2">
      <c r="A91" s="348">
        <v>66</v>
      </c>
      <c r="B91" s="347" t="s">
        <v>221</v>
      </c>
      <c r="C91" s="361">
        <v>504.9</v>
      </c>
      <c r="D91" s="362">
        <v>45.1</v>
      </c>
      <c r="E91" s="361">
        <f t="shared" si="26"/>
        <v>550</v>
      </c>
      <c r="F91" s="361">
        <v>200</v>
      </c>
      <c r="G91" s="362">
        <f t="shared" si="27"/>
        <v>550</v>
      </c>
      <c r="H91" s="365">
        <f t="shared" si="28"/>
        <v>41.25</v>
      </c>
      <c r="I91" s="365">
        <f t="shared" si="29"/>
        <v>5.5</v>
      </c>
      <c r="J91" s="365">
        <f t="shared" si="30"/>
        <v>46.75</v>
      </c>
      <c r="K91" s="366">
        <f t="shared" si="33"/>
        <v>42.625</v>
      </c>
      <c r="L91" s="365"/>
      <c r="M91" s="365"/>
      <c r="N91" s="365"/>
      <c r="O91" s="365">
        <f t="shared" si="31"/>
        <v>6058.7999999999993</v>
      </c>
      <c r="P91" s="367">
        <f t="shared" si="32"/>
        <v>6808.7999999999993</v>
      </c>
    </row>
    <row r="92" spans="1:16" ht="15.95" customHeight="1" x14ac:dyDescent="0.2">
      <c r="A92" s="348">
        <v>67</v>
      </c>
      <c r="B92" s="347" t="s">
        <v>221</v>
      </c>
      <c r="C92" s="361">
        <v>385</v>
      </c>
      <c r="D92" s="362">
        <v>40</v>
      </c>
      <c r="E92" s="361">
        <f t="shared" si="26"/>
        <v>425</v>
      </c>
      <c r="F92" s="361">
        <v>200</v>
      </c>
      <c r="G92" s="362">
        <f t="shared" si="27"/>
        <v>425</v>
      </c>
      <c r="H92" s="365">
        <f>+E92*7.5%</f>
        <v>31.875</v>
      </c>
      <c r="I92" s="365">
        <f>+E92*1%</f>
        <v>4.25</v>
      </c>
      <c r="J92" s="365">
        <f t="shared" si="30"/>
        <v>36.125</v>
      </c>
      <c r="K92" s="366">
        <f t="shared" si="33"/>
        <v>32.9375</v>
      </c>
      <c r="L92" s="365"/>
      <c r="M92" s="365"/>
      <c r="N92" s="365"/>
      <c r="O92" s="365">
        <f t="shared" si="31"/>
        <v>4620</v>
      </c>
      <c r="P92" s="367">
        <f t="shared" si="32"/>
        <v>5245</v>
      </c>
    </row>
    <row r="93" spans="1:16" ht="15.95" customHeight="1" thickBot="1" x14ac:dyDescent="0.25">
      <c r="A93" s="348"/>
      <c r="B93" s="347"/>
      <c r="C93" s="361">
        <f>SUM(C85:C92)</f>
        <v>2929.9</v>
      </c>
      <c r="D93" s="361">
        <f>SUM(D85:D92)</f>
        <v>310.10000000000002</v>
      </c>
      <c r="E93" s="361">
        <f>SUM(E85:E92)</f>
        <v>3240</v>
      </c>
      <c r="F93" s="361">
        <f t="shared" ref="F93:P93" si="34">SUM(F85:F92)</f>
        <v>1600</v>
      </c>
      <c r="G93" s="361">
        <f t="shared" si="34"/>
        <v>3240</v>
      </c>
      <c r="H93" s="361">
        <f t="shared" si="34"/>
        <v>243</v>
      </c>
      <c r="I93" s="361">
        <f t="shared" si="34"/>
        <v>32.400000000000006</v>
      </c>
      <c r="J93" s="361">
        <f t="shared" si="34"/>
        <v>275.39999999999998</v>
      </c>
      <c r="K93" s="361">
        <f t="shared" si="34"/>
        <v>251.1</v>
      </c>
      <c r="L93" s="361"/>
      <c r="M93" s="361"/>
      <c r="N93" s="361"/>
      <c r="O93" s="361" t="e">
        <f t="shared" si="34"/>
        <v>#VALUE!</v>
      </c>
      <c r="P93" s="364" t="e">
        <f t="shared" si="34"/>
        <v>#VALUE!</v>
      </c>
    </row>
    <row r="94" spans="1:16" ht="15.95" customHeight="1" thickBot="1" x14ac:dyDescent="0.25">
      <c r="A94" s="720"/>
      <c r="B94" s="721"/>
      <c r="C94" s="352">
        <f>+C13+C26+C37+C83+C93</f>
        <v>47658.439999999995</v>
      </c>
      <c r="D94" s="352">
        <f>+D13+D26+D37+D83+D93</f>
        <v>1686.29</v>
      </c>
      <c r="E94" s="353">
        <f>SUM(C94:D94)</f>
        <v>49344.729999999996</v>
      </c>
      <c r="F94" s="352">
        <f t="shared" ref="F94:K94" si="35">+F13+F26+F37+F83+F93</f>
        <v>13400</v>
      </c>
      <c r="G94" s="352">
        <f t="shared" si="35"/>
        <v>38784.729999999996</v>
      </c>
      <c r="H94" s="352">
        <f t="shared" si="35"/>
        <v>3103.3177499999997</v>
      </c>
      <c r="I94" s="352">
        <f t="shared" si="35"/>
        <v>404.12170000000003</v>
      </c>
      <c r="J94" s="352">
        <f t="shared" si="35"/>
        <v>3507.4394499999999</v>
      </c>
      <c r="K94" s="352">
        <f t="shared" si="35"/>
        <v>3126.1856750000002</v>
      </c>
      <c r="L94" s="352"/>
      <c r="M94" s="352"/>
      <c r="N94" s="352"/>
      <c r="O94" s="352" t="e">
        <f>+O13+O26+O37+O83+O93</f>
        <v>#VALUE!</v>
      </c>
      <c r="P94" s="352" t="e">
        <f>+P13+P26+P37+P83+P93</f>
        <v>#VALUE!</v>
      </c>
    </row>
    <row r="95" spans="1:16" ht="14.25" x14ac:dyDescent="0.2">
      <c r="A95" s="354"/>
      <c r="B95" s="354"/>
      <c r="C95" s="354"/>
      <c r="D95" s="355">
        <f>+D94+55+55+20</f>
        <v>1816.29</v>
      </c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</row>
    <row r="96" spans="1:16" x14ac:dyDescent="0.2">
      <c r="A96" s="56"/>
      <c r="B96" s="56"/>
      <c r="C96" s="56"/>
      <c r="D96" s="56"/>
      <c r="E96" s="56"/>
      <c r="F96" s="356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1:16" x14ac:dyDescent="0.2">
      <c r="A97" s="56"/>
      <c r="B97" s="56"/>
      <c r="C97" s="56"/>
      <c r="D97" s="56"/>
      <c r="E97" s="56"/>
      <c r="F97" s="356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1:16" x14ac:dyDescent="0.2">
      <c r="A98" s="56"/>
      <c r="B98" s="56"/>
      <c r="C98" s="56"/>
      <c r="D98" s="56"/>
      <c r="E98" s="56"/>
      <c r="F98" s="357"/>
      <c r="G98" s="56"/>
      <c r="H98" s="358"/>
      <c r="I98" s="358"/>
      <c r="J98" s="56"/>
      <c r="K98" s="56"/>
      <c r="L98" s="56"/>
      <c r="M98" s="56"/>
      <c r="N98" s="358"/>
      <c r="O98" s="56"/>
      <c r="P98" s="56"/>
    </row>
    <row r="99" spans="1:16" x14ac:dyDescent="0.2">
      <c r="A99" s="56"/>
      <c r="B99" s="56"/>
      <c r="C99" s="56"/>
      <c r="D99" s="56"/>
      <c r="E99" s="56"/>
      <c r="F99" s="357"/>
      <c r="G99" s="56"/>
      <c r="H99" s="358"/>
      <c r="I99" s="358"/>
      <c r="J99" s="56"/>
      <c r="K99" s="56"/>
      <c r="L99" s="56"/>
      <c r="M99" s="56"/>
      <c r="N99" s="358"/>
      <c r="O99" s="56"/>
      <c r="P99" s="56"/>
    </row>
    <row r="100" spans="1:16" x14ac:dyDescent="0.2">
      <c r="A100" s="56"/>
      <c r="B100" s="56"/>
      <c r="C100" s="56"/>
      <c r="D100" s="56"/>
      <c r="E100" s="56"/>
      <c r="F100" s="357"/>
      <c r="G100" s="56"/>
      <c r="H100" s="358"/>
      <c r="I100" s="358"/>
      <c r="J100" s="56"/>
      <c r="K100" s="56"/>
      <c r="L100" s="56"/>
      <c r="M100" s="56"/>
      <c r="N100" s="358"/>
      <c r="O100" s="56"/>
      <c r="P100" s="56"/>
    </row>
    <row r="101" spans="1:16" x14ac:dyDescent="0.2">
      <c r="A101" s="56"/>
      <c r="B101" s="56"/>
      <c r="C101" s="56"/>
      <c r="D101" s="56"/>
      <c r="E101" s="56"/>
      <c r="F101" s="357"/>
      <c r="G101" s="56"/>
      <c r="H101" s="358"/>
      <c r="I101" s="358"/>
      <c r="J101" s="56"/>
      <c r="K101" s="56"/>
      <c r="L101" s="56"/>
      <c r="M101" s="56"/>
      <c r="N101" s="56"/>
      <c r="O101" s="56"/>
      <c r="P101" s="56"/>
    </row>
    <row r="102" spans="1:16" x14ac:dyDescent="0.2">
      <c r="A102" s="56"/>
      <c r="B102" s="56"/>
      <c r="C102" s="56"/>
      <c r="D102" s="56"/>
      <c r="E102" s="56"/>
      <c r="F102" s="357"/>
      <c r="G102" s="56"/>
      <c r="H102" s="358"/>
      <c r="I102" s="358"/>
      <c r="J102" s="359"/>
      <c r="K102" s="56"/>
      <c r="L102" s="56"/>
      <c r="M102" s="56"/>
      <c r="N102" s="56"/>
      <c r="O102" s="56"/>
      <c r="P102" s="56"/>
    </row>
    <row r="103" spans="1:16" x14ac:dyDescent="0.2">
      <c r="A103" s="56"/>
      <c r="B103" s="56"/>
      <c r="C103" s="56"/>
      <c r="D103" s="56"/>
      <c r="E103" s="56"/>
      <c r="F103" s="357"/>
      <c r="G103" s="56"/>
      <c r="H103" s="358"/>
      <c r="I103" s="358"/>
      <c r="J103" s="359"/>
      <c r="K103" s="358"/>
      <c r="L103" s="358"/>
      <c r="M103" s="56"/>
      <c r="N103" s="358"/>
      <c r="O103" s="56"/>
      <c r="P103" s="56"/>
    </row>
    <row r="104" spans="1:16" x14ac:dyDescent="0.2">
      <c r="A104" s="56"/>
      <c r="B104" s="56"/>
      <c r="C104" s="56"/>
      <c r="D104" s="56"/>
      <c r="E104" s="56"/>
      <c r="F104" s="56"/>
      <c r="G104" s="56"/>
      <c r="H104" s="360"/>
      <c r="I104" s="358"/>
      <c r="J104" s="56"/>
      <c r="K104" s="56"/>
      <c r="L104" s="56"/>
      <c r="M104" s="56"/>
      <c r="N104" s="56"/>
      <c r="O104" s="358"/>
      <c r="P104" s="56"/>
    </row>
    <row r="105" spans="1:16" x14ac:dyDescent="0.2">
      <c r="A105" s="56"/>
      <c r="B105" s="56"/>
      <c r="C105" s="56"/>
      <c r="D105" s="56"/>
      <c r="E105" s="56"/>
      <c r="F105" s="56"/>
      <c r="G105" s="56"/>
      <c r="H105" s="358"/>
      <c r="I105" s="358"/>
      <c r="J105" s="56"/>
      <c r="K105" s="56"/>
      <c r="L105" s="56"/>
      <c r="M105" s="56"/>
      <c r="N105" s="56"/>
      <c r="O105" s="56"/>
      <c r="P105" s="56"/>
    </row>
    <row r="106" spans="1:16" x14ac:dyDescent="0.2">
      <c r="A106" s="56"/>
      <c r="B106" s="56"/>
      <c r="C106" s="56"/>
      <c r="D106" s="56"/>
      <c r="E106" s="56"/>
      <c r="F106" s="357"/>
      <c r="G106" s="56"/>
      <c r="H106" s="358"/>
      <c r="I106" s="358"/>
      <c r="J106" s="56"/>
      <c r="K106" s="56"/>
      <c r="L106" s="56"/>
      <c r="M106" s="56"/>
      <c r="N106" s="56"/>
      <c r="O106" s="56"/>
      <c r="P106" s="56"/>
    </row>
    <row r="107" spans="1:16" x14ac:dyDescent="0.2">
      <c r="C107" s="258"/>
      <c r="F107" s="179"/>
      <c r="H107" s="180"/>
      <c r="I107" s="180"/>
    </row>
    <row r="108" spans="1:16" x14ac:dyDescent="0.2">
      <c r="C108" s="258"/>
      <c r="F108" s="179"/>
      <c r="H108" s="180"/>
      <c r="I108" s="180"/>
    </row>
    <row r="109" spans="1:16" x14ac:dyDescent="0.2">
      <c r="C109" s="258"/>
      <c r="F109" s="179"/>
      <c r="H109" s="180"/>
      <c r="I109" s="180"/>
    </row>
    <row r="110" spans="1:16" x14ac:dyDescent="0.2">
      <c r="C110" s="258"/>
      <c r="F110" s="179"/>
      <c r="H110" s="180"/>
      <c r="I110" s="180"/>
    </row>
    <row r="111" spans="1:16" x14ac:dyDescent="0.2">
      <c r="C111" s="258"/>
      <c r="F111" s="179"/>
      <c r="H111" s="180"/>
      <c r="I111" s="180"/>
    </row>
    <row r="112" spans="1:16" x14ac:dyDescent="0.2">
      <c r="C112" s="258"/>
      <c r="H112" s="181"/>
      <c r="I112" s="187"/>
    </row>
    <row r="113" spans="3:14" x14ac:dyDescent="0.2">
      <c r="C113" s="258"/>
      <c r="D113" s="178"/>
      <c r="E113" s="178"/>
      <c r="H113" s="180"/>
      <c r="I113" s="180"/>
    </row>
    <row r="114" spans="3:14" x14ac:dyDescent="0.2">
      <c r="C114" s="258"/>
      <c r="F114" s="179"/>
      <c r="H114" s="180"/>
      <c r="I114" s="180"/>
      <c r="J114" s="188"/>
      <c r="K114" s="188"/>
      <c r="L114" s="188"/>
      <c r="M114" s="189"/>
    </row>
    <row r="115" spans="3:14" x14ac:dyDescent="0.2">
      <c r="C115" s="258"/>
      <c r="F115" s="179"/>
      <c r="H115" s="180"/>
      <c r="I115" s="180"/>
      <c r="J115" s="188"/>
      <c r="K115" s="188"/>
      <c r="L115" s="188"/>
      <c r="M115" s="189"/>
    </row>
    <row r="116" spans="3:14" x14ac:dyDescent="0.2">
      <c r="C116" s="258"/>
      <c r="F116" s="179"/>
      <c r="H116" s="180"/>
      <c r="I116" s="180"/>
      <c r="J116" s="188"/>
      <c r="K116" s="188"/>
      <c r="L116" s="188"/>
      <c r="M116" s="189"/>
    </row>
    <row r="117" spans="3:14" x14ac:dyDescent="0.2">
      <c r="F117" s="179"/>
      <c r="H117" s="180"/>
      <c r="I117" s="180"/>
      <c r="J117" s="188"/>
      <c r="K117" s="188"/>
      <c r="L117" s="188"/>
      <c r="M117" s="189"/>
    </row>
    <row r="118" spans="3:14" x14ac:dyDescent="0.2">
      <c r="F118" s="179"/>
      <c r="H118" s="180"/>
      <c r="I118" s="180"/>
      <c r="J118" s="188"/>
      <c r="K118" s="188"/>
      <c r="L118" s="188"/>
      <c r="M118" s="189"/>
    </row>
    <row r="119" spans="3:14" x14ac:dyDescent="0.2">
      <c r="F119" s="179"/>
      <c r="H119" s="180"/>
      <c r="I119" s="180"/>
      <c r="J119" s="188"/>
      <c r="K119" s="188"/>
      <c r="L119" s="188"/>
      <c r="M119" s="189"/>
    </row>
    <row r="120" spans="3:14" x14ac:dyDescent="0.2">
      <c r="H120" s="181"/>
      <c r="I120" s="187"/>
      <c r="J120" s="188"/>
      <c r="K120" s="188"/>
      <c r="L120" s="188"/>
      <c r="M120" s="189"/>
      <c r="N120" s="180"/>
    </row>
    <row r="121" spans="3:14" x14ac:dyDescent="0.2">
      <c r="C121" s="178"/>
      <c r="D121" s="178"/>
      <c r="E121" s="178"/>
      <c r="H121" s="180"/>
      <c r="I121" s="180"/>
      <c r="J121" s="188"/>
      <c r="K121" s="188"/>
      <c r="L121" s="188"/>
      <c r="M121" s="189"/>
    </row>
    <row r="122" spans="3:14" x14ac:dyDescent="0.2">
      <c r="F122" s="179"/>
      <c r="H122" s="180"/>
      <c r="I122" s="180"/>
    </row>
    <row r="123" spans="3:14" x14ac:dyDescent="0.2">
      <c r="F123" s="179"/>
      <c r="H123" s="180"/>
      <c r="I123" s="180"/>
    </row>
    <row r="124" spans="3:14" x14ac:dyDescent="0.2">
      <c r="F124" s="179"/>
      <c r="H124" s="180"/>
      <c r="I124" s="180"/>
    </row>
    <row r="125" spans="3:14" x14ac:dyDescent="0.2">
      <c r="F125" s="179"/>
      <c r="H125" s="180"/>
      <c r="I125" s="180"/>
    </row>
    <row r="126" spans="3:14" x14ac:dyDescent="0.2">
      <c r="F126" s="179"/>
      <c r="H126" s="180"/>
      <c r="I126" s="180"/>
      <c r="J126" s="180"/>
    </row>
    <row r="127" spans="3:14" x14ac:dyDescent="0.2">
      <c r="F127" s="179"/>
      <c r="H127" s="180"/>
      <c r="I127" s="180"/>
    </row>
    <row r="128" spans="3:14" x14ac:dyDescent="0.2">
      <c r="H128" s="181"/>
      <c r="I128" s="180"/>
    </row>
    <row r="129" spans="3:9" x14ac:dyDescent="0.2">
      <c r="C129" s="151"/>
      <c r="D129" s="151"/>
      <c r="E129" s="151"/>
      <c r="H129" s="182"/>
      <c r="I129" s="180"/>
    </row>
    <row r="130" spans="3:9" x14ac:dyDescent="0.2">
      <c r="H130" s="180"/>
      <c r="I130" s="180"/>
    </row>
    <row r="131" spans="3:9" x14ac:dyDescent="0.2">
      <c r="H131" s="180"/>
      <c r="I131" s="180"/>
    </row>
    <row r="132" spans="3:9" x14ac:dyDescent="0.2">
      <c r="H132" s="180"/>
      <c r="I132" s="180"/>
    </row>
  </sheetData>
  <mergeCells count="16">
    <mergeCell ref="A94:B94"/>
    <mergeCell ref="M5:M6"/>
    <mergeCell ref="L5:L6"/>
    <mergeCell ref="P4:P6"/>
    <mergeCell ref="H5:H6"/>
    <mergeCell ref="L4:O4"/>
    <mergeCell ref="N5:N6"/>
    <mergeCell ref="O5:O6"/>
    <mergeCell ref="C4:G6"/>
    <mergeCell ref="A1:P1"/>
    <mergeCell ref="A2:P2"/>
    <mergeCell ref="A3:P3"/>
    <mergeCell ref="A4:A6"/>
    <mergeCell ref="B4:B6"/>
    <mergeCell ref="H4:J4"/>
    <mergeCell ref="I5:I6"/>
  </mergeCells>
  <pageMargins left="0.70866141732283472" right="0.70866141732283472" top="0.74803149606299213" bottom="0.74803149606299213" header="0.31496062992125984" footer="0.31496062992125984"/>
  <pageSetup paperSize="5" scale="82" fitToHeight="0" orientation="portrait" r:id="rId1"/>
  <rowBreaks count="1" manualBreakCount="1">
    <brk id="6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view="pageBreakPreview" zoomScale="70" zoomScaleNormal="70" zoomScaleSheetLayoutView="70" workbookViewId="0">
      <selection activeCell="A3" sqref="A3:D3"/>
    </sheetView>
  </sheetViews>
  <sheetFormatPr baseColWidth="10" defaultRowHeight="12.75" x14ac:dyDescent="0.2"/>
  <cols>
    <col min="1" max="1" width="35.85546875" style="46" customWidth="1"/>
    <col min="2" max="2" width="32.7109375" style="46" customWidth="1"/>
    <col min="3" max="3" width="93" style="46" customWidth="1"/>
    <col min="4" max="4" width="42.7109375" style="46" customWidth="1"/>
    <col min="5" max="16384" width="11.42578125" style="46"/>
  </cols>
  <sheetData>
    <row r="1" spans="1:4" ht="22.5" customHeight="1" x14ac:dyDescent="0.2">
      <c r="A1" s="560" t="s">
        <v>380</v>
      </c>
      <c r="B1" s="560"/>
      <c r="C1" s="560"/>
      <c r="D1" s="560"/>
    </row>
    <row r="2" spans="1:4" ht="24.75" customHeight="1" x14ac:dyDescent="0.2">
      <c r="A2" s="561" t="s">
        <v>372</v>
      </c>
      <c r="B2" s="561"/>
      <c r="C2" s="561"/>
      <c r="D2" s="561"/>
    </row>
    <row r="3" spans="1:4" ht="26.25" customHeight="1" thickBot="1" x14ac:dyDescent="0.25">
      <c r="A3" s="562" t="s">
        <v>637</v>
      </c>
      <c r="B3" s="562"/>
      <c r="C3" s="562"/>
      <c r="D3" s="562"/>
    </row>
    <row r="4" spans="1:4" s="45" customFormat="1" ht="45" customHeight="1" thickBot="1" x14ac:dyDescent="0.25">
      <c r="A4" s="390" t="s">
        <v>571</v>
      </c>
      <c r="B4" s="391" t="s">
        <v>122</v>
      </c>
      <c r="C4" s="391" t="s">
        <v>96</v>
      </c>
      <c r="D4" s="392" t="s">
        <v>123</v>
      </c>
    </row>
    <row r="5" spans="1:4" ht="75.75" customHeight="1" x14ac:dyDescent="0.2">
      <c r="A5" s="567" t="s">
        <v>49</v>
      </c>
      <c r="B5" s="256"/>
      <c r="C5" s="129" t="s">
        <v>408</v>
      </c>
      <c r="D5" s="567" t="s">
        <v>125</v>
      </c>
    </row>
    <row r="6" spans="1:4" ht="31.5" customHeight="1" x14ac:dyDescent="0.2">
      <c r="A6" s="568"/>
      <c r="B6" s="262" t="s">
        <v>88</v>
      </c>
      <c r="C6" s="263" t="s">
        <v>354</v>
      </c>
      <c r="D6" s="568"/>
    </row>
    <row r="7" spans="1:4" ht="36.75" customHeight="1" thickBot="1" x14ac:dyDescent="0.25">
      <c r="A7" s="568"/>
      <c r="B7" s="262" t="s">
        <v>369</v>
      </c>
      <c r="C7" s="263" t="s">
        <v>659</v>
      </c>
      <c r="D7" s="568"/>
    </row>
    <row r="8" spans="1:4" ht="28.5" customHeight="1" x14ac:dyDescent="0.2">
      <c r="A8" s="567" t="s">
        <v>219</v>
      </c>
      <c r="B8" s="264"/>
      <c r="C8" s="129" t="s">
        <v>220</v>
      </c>
      <c r="D8" s="568"/>
    </row>
    <row r="9" spans="1:4" ht="34.5" customHeight="1" thickBot="1" x14ac:dyDescent="0.25">
      <c r="A9" s="568"/>
      <c r="B9" s="265" t="s">
        <v>221</v>
      </c>
      <c r="C9" s="266" t="s">
        <v>355</v>
      </c>
      <c r="D9" s="568"/>
    </row>
    <row r="10" spans="1:4" ht="18" customHeight="1" thickBot="1" x14ac:dyDescent="0.25">
      <c r="A10" s="569"/>
      <c r="B10" s="265"/>
      <c r="C10" s="266"/>
      <c r="D10" s="568"/>
    </row>
    <row r="11" spans="1:4" ht="34.5" customHeight="1" x14ac:dyDescent="0.2">
      <c r="A11" s="567" t="s">
        <v>53</v>
      </c>
      <c r="B11" s="257"/>
      <c r="C11" s="546" t="s">
        <v>124</v>
      </c>
      <c r="D11" s="563" t="s">
        <v>126</v>
      </c>
    </row>
    <row r="12" spans="1:4" ht="27" customHeight="1" x14ac:dyDescent="0.2">
      <c r="A12" s="568"/>
      <c r="B12" s="262" t="s">
        <v>87</v>
      </c>
      <c r="C12" s="547" t="s">
        <v>370</v>
      </c>
      <c r="D12" s="564"/>
    </row>
    <row r="13" spans="1:4" ht="34.5" customHeight="1" x14ac:dyDescent="0.2">
      <c r="A13" s="568"/>
      <c r="B13" s="262" t="s">
        <v>95</v>
      </c>
      <c r="C13" s="547" t="s">
        <v>371</v>
      </c>
      <c r="D13" s="564"/>
    </row>
    <row r="14" spans="1:4" ht="31.5" customHeight="1" thickBot="1" x14ac:dyDescent="0.25">
      <c r="A14" s="568"/>
      <c r="B14" s="448" t="s">
        <v>417</v>
      </c>
      <c r="C14" s="548" t="s">
        <v>631</v>
      </c>
      <c r="D14" s="565"/>
    </row>
    <row r="15" spans="1:4" ht="25.5" customHeight="1" x14ac:dyDescent="0.2">
      <c r="A15" s="567" t="s">
        <v>409</v>
      </c>
      <c r="B15" s="264" t="s">
        <v>410</v>
      </c>
      <c r="C15" s="549" t="s">
        <v>411</v>
      </c>
      <c r="D15" s="570" t="s">
        <v>856</v>
      </c>
    </row>
    <row r="16" spans="1:4" ht="25.5" customHeight="1" thickBot="1" x14ac:dyDescent="0.25">
      <c r="A16" s="568"/>
      <c r="B16" s="262"/>
      <c r="C16" s="547"/>
      <c r="D16" s="571"/>
    </row>
    <row r="17" spans="1:4" ht="25.5" customHeight="1" x14ac:dyDescent="0.2">
      <c r="A17" s="568"/>
      <c r="B17" s="264" t="s">
        <v>410</v>
      </c>
      <c r="C17" s="549" t="s">
        <v>855</v>
      </c>
      <c r="D17" s="571"/>
    </row>
    <row r="18" spans="1:4" ht="25.5" customHeight="1" thickBot="1" x14ac:dyDescent="0.25">
      <c r="A18" s="569"/>
      <c r="B18" s="267"/>
      <c r="C18" s="550"/>
      <c r="D18" s="572"/>
    </row>
    <row r="19" spans="1:4" ht="15" customHeight="1" x14ac:dyDescent="0.2">
      <c r="A19" s="48"/>
      <c r="B19" s="48"/>
      <c r="C19" s="49"/>
      <c r="D19" s="545"/>
    </row>
    <row r="20" spans="1:4" ht="15" customHeight="1" x14ac:dyDescent="0.2">
      <c r="A20" s="48"/>
      <c r="B20" s="48"/>
      <c r="C20" s="49"/>
      <c r="D20" s="49"/>
    </row>
    <row r="21" spans="1:4" s="47" customFormat="1" ht="15" customHeight="1" x14ac:dyDescent="0.2">
      <c r="A21" s="566"/>
      <c r="B21" s="566"/>
      <c r="C21" s="566"/>
      <c r="D21" s="50"/>
    </row>
    <row r="22" spans="1:4" ht="15" customHeight="1" x14ac:dyDescent="0.2">
      <c r="A22" s="49"/>
      <c r="B22" s="49"/>
      <c r="C22" s="49"/>
      <c r="D22" s="49"/>
    </row>
    <row r="23" spans="1:4" ht="15" customHeight="1" x14ac:dyDescent="0.2">
      <c r="A23" s="51"/>
      <c r="B23" s="559"/>
      <c r="C23" s="559"/>
      <c r="D23" s="49"/>
    </row>
    <row r="24" spans="1:4" ht="15" customHeight="1" x14ac:dyDescent="0.2">
      <c r="A24" s="51"/>
      <c r="B24" s="52"/>
      <c r="C24" s="53"/>
      <c r="D24" s="49"/>
    </row>
    <row r="25" spans="1:4" ht="15" customHeight="1" x14ac:dyDescent="0.2">
      <c r="A25" s="51"/>
      <c r="B25" s="559"/>
      <c r="C25" s="559"/>
      <c r="D25" s="49"/>
    </row>
    <row r="26" spans="1:4" ht="15" customHeight="1" x14ac:dyDescent="0.2">
      <c r="A26" s="51"/>
      <c r="B26" s="52"/>
      <c r="C26" s="53"/>
      <c r="D26" s="49"/>
    </row>
    <row r="27" spans="1:4" ht="15" customHeight="1" x14ac:dyDescent="0.2">
      <c r="A27" s="51"/>
      <c r="B27" s="559"/>
      <c r="C27" s="559"/>
      <c r="D27" s="49"/>
    </row>
    <row r="28" spans="1:4" ht="15" customHeight="1" x14ac:dyDescent="0.2">
      <c r="A28" s="49"/>
      <c r="B28" s="49"/>
      <c r="C28" s="49"/>
      <c r="D28" s="49"/>
    </row>
    <row r="29" spans="1:4" ht="15" customHeight="1" x14ac:dyDescent="0.2">
      <c r="A29" s="49"/>
      <c r="B29" s="49"/>
      <c r="C29" s="49"/>
      <c r="D29" s="49"/>
    </row>
    <row r="30" spans="1:4" ht="15" customHeight="1" x14ac:dyDescent="0.2">
      <c r="A30" s="49"/>
      <c r="B30" s="49"/>
      <c r="C30" s="49"/>
      <c r="D30" s="49"/>
    </row>
    <row r="31" spans="1:4" ht="15" customHeight="1" x14ac:dyDescent="0.2">
      <c r="A31" s="49"/>
      <c r="B31" s="49"/>
      <c r="C31" s="49"/>
      <c r="D31" s="49"/>
    </row>
    <row r="32" spans="1:4" ht="15" customHeight="1" x14ac:dyDescent="0.2">
      <c r="A32" s="49"/>
      <c r="B32" s="49"/>
      <c r="C32" s="49"/>
      <c r="D32" s="49"/>
    </row>
    <row r="33" spans="1:4" ht="15" customHeight="1" x14ac:dyDescent="0.2">
      <c r="A33" s="49"/>
      <c r="B33" s="49"/>
      <c r="C33" s="49"/>
      <c r="D33" s="49"/>
    </row>
    <row r="34" spans="1:4" ht="15" customHeight="1" x14ac:dyDescent="0.2">
      <c r="A34" s="49"/>
      <c r="B34" s="49"/>
      <c r="C34" s="49"/>
      <c r="D34" s="49"/>
    </row>
    <row r="35" spans="1:4" ht="15" customHeight="1" x14ac:dyDescent="0.2">
      <c r="A35" s="49"/>
      <c r="B35" s="49"/>
      <c r="C35" s="49"/>
      <c r="D35" s="49"/>
    </row>
    <row r="36" spans="1:4" ht="15" customHeight="1" x14ac:dyDescent="0.2">
      <c r="A36" s="49"/>
      <c r="B36" s="49"/>
      <c r="C36" s="49"/>
      <c r="D36" s="49"/>
    </row>
    <row r="37" spans="1:4" ht="15" customHeight="1" x14ac:dyDescent="0.2">
      <c r="A37" s="49"/>
      <c r="B37" s="49"/>
      <c r="C37" s="49"/>
      <c r="D37" s="49"/>
    </row>
    <row r="38" spans="1:4" ht="15" customHeight="1" x14ac:dyDescent="0.2">
      <c r="A38" s="49"/>
      <c r="B38" s="49"/>
      <c r="C38" s="49"/>
      <c r="D38" s="49"/>
    </row>
    <row r="39" spans="1:4" ht="15" customHeight="1" x14ac:dyDescent="0.2">
      <c r="A39" s="49"/>
      <c r="B39" s="49"/>
      <c r="C39" s="49"/>
      <c r="D39" s="49"/>
    </row>
    <row r="40" spans="1:4" ht="15" customHeight="1" x14ac:dyDescent="0.2">
      <c r="A40" s="49"/>
      <c r="B40" s="49"/>
      <c r="C40" s="49"/>
      <c r="D40" s="49"/>
    </row>
    <row r="41" spans="1:4" ht="15" customHeight="1" x14ac:dyDescent="0.2">
      <c r="A41" s="49"/>
      <c r="B41" s="49"/>
      <c r="C41" s="49"/>
      <c r="D41" s="49"/>
    </row>
    <row r="42" spans="1:4" ht="15" customHeight="1" x14ac:dyDescent="0.2">
      <c r="A42" s="49"/>
      <c r="B42" s="49"/>
      <c r="C42" s="49"/>
      <c r="D42" s="49"/>
    </row>
    <row r="43" spans="1:4" ht="15" customHeight="1" x14ac:dyDescent="0.2">
      <c r="A43" s="49"/>
      <c r="B43" s="49"/>
      <c r="C43" s="49"/>
      <c r="D43" s="49"/>
    </row>
    <row r="44" spans="1:4" ht="15" customHeight="1" x14ac:dyDescent="0.2">
      <c r="A44" s="49"/>
      <c r="B44" s="49"/>
      <c r="C44" s="49"/>
      <c r="D44" s="49"/>
    </row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x14ac:dyDescent="0.2"/>
  </sheetData>
  <mergeCells count="14">
    <mergeCell ref="B27:C27"/>
    <mergeCell ref="A1:D1"/>
    <mergeCell ref="A2:D2"/>
    <mergeCell ref="A3:D3"/>
    <mergeCell ref="D11:D14"/>
    <mergeCell ref="A21:C21"/>
    <mergeCell ref="A5:A7"/>
    <mergeCell ref="A11:A14"/>
    <mergeCell ref="A15:A18"/>
    <mergeCell ref="A8:A10"/>
    <mergeCell ref="D5:D10"/>
    <mergeCell ref="B23:C23"/>
    <mergeCell ref="B25:C25"/>
    <mergeCell ref="D15:D18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7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22"/>
  <sheetViews>
    <sheetView view="pageBreakPreview" zoomScale="80" zoomScaleNormal="100" zoomScaleSheetLayoutView="80" workbookViewId="0">
      <selection activeCell="R7" sqref="R7"/>
    </sheetView>
  </sheetViews>
  <sheetFormatPr baseColWidth="10" defaultRowHeight="12.75" x14ac:dyDescent="0.2"/>
  <cols>
    <col min="1" max="1" width="14.28515625" customWidth="1"/>
    <col min="2" max="2" width="18.28515625" customWidth="1"/>
    <col min="4" max="4" width="14.42578125" customWidth="1"/>
    <col min="5" max="5" width="3.7109375" customWidth="1"/>
    <col min="6" max="6" width="4.42578125" customWidth="1"/>
    <col min="7" max="7" width="5.85546875" customWidth="1"/>
    <col min="8" max="8" width="15.140625" customWidth="1"/>
    <col min="9" max="9" width="16.28515625" customWidth="1"/>
    <col min="10" max="10" width="14.5703125" customWidth="1"/>
    <col min="11" max="11" width="15.140625" customWidth="1"/>
    <col min="12" max="12" width="11.42578125" style="243" customWidth="1"/>
  </cols>
  <sheetData>
    <row r="1" spans="1:13" ht="13.5" thickBot="1" x14ac:dyDescent="0.25">
      <c r="J1" s="243">
        <v>2020</v>
      </c>
      <c r="K1" s="243">
        <v>2021</v>
      </c>
    </row>
    <row r="2" spans="1:13" ht="38.450000000000003" customHeight="1" thickBot="1" x14ac:dyDescent="0.25">
      <c r="A2" s="244" t="s">
        <v>613</v>
      </c>
      <c r="B2" s="245" t="s">
        <v>614</v>
      </c>
      <c r="C2" s="739" t="s">
        <v>615</v>
      </c>
      <c r="D2" s="740"/>
      <c r="I2" s="246" t="s">
        <v>616</v>
      </c>
      <c r="J2" s="247" t="s">
        <v>617</v>
      </c>
      <c r="K2" s="248" t="s">
        <v>648</v>
      </c>
      <c r="L2" s="249" t="s">
        <v>618</v>
      </c>
      <c r="M2" s="250" t="s">
        <v>619</v>
      </c>
    </row>
    <row r="3" spans="1:13" ht="41.45" customHeight="1" x14ac:dyDescent="0.2">
      <c r="A3" s="741" t="s">
        <v>663</v>
      </c>
      <c r="B3" s="251">
        <f>12077.21+60085.69+24573.09</f>
        <v>96735.989999999991</v>
      </c>
      <c r="C3" s="745" t="s">
        <v>661</v>
      </c>
      <c r="D3" s="746"/>
      <c r="I3" s="371" t="s">
        <v>645</v>
      </c>
      <c r="J3" s="372">
        <v>26212.560000000001</v>
      </c>
      <c r="K3" s="372">
        <v>28833.82</v>
      </c>
      <c r="L3" s="373">
        <f>1-(J3/K3)</f>
        <v>9.0909217023620092E-2</v>
      </c>
      <c r="M3" s="374">
        <f>K3-J3</f>
        <v>2621.2599999999984</v>
      </c>
    </row>
    <row r="4" spans="1:13" ht="32.450000000000003" customHeight="1" x14ac:dyDescent="0.2">
      <c r="A4" s="742"/>
      <c r="B4" s="251">
        <f>29950.65+30227.7+39020.09</f>
        <v>99198.44</v>
      </c>
      <c r="C4" s="747" t="s">
        <v>662</v>
      </c>
      <c r="D4" s="748"/>
      <c r="I4" s="375" t="s">
        <v>646</v>
      </c>
      <c r="J4" s="376">
        <v>39211.47</v>
      </c>
      <c r="K4" s="376">
        <v>43132.62</v>
      </c>
      <c r="L4" s="377">
        <f t="shared" ref="L4:L15" si="0">1-(J4/K4)</f>
        <v>9.0909154139025228E-2</v>
      </c>
      <c r="M4" s="378">
        <f t="shared" ref="M4:M15" si="1">K4-J4</f>
        <v>3921.1500000000015</v>
      </c>
    </row>
    <row r="5" spans="1:13" ht="37.9" customHeight="1" x14ac:dyDescent="0.2">
      <c r="A5" s="742"/>
      <c r="B5" s="251">
        <f>7508+20825</f>
        <v>28333</v>
      </c>
      <c r="C5" s="749" t="s">
        <v>620</v>
      </c>
      <c r="D5" s="748"/>
      <c r="I5" s="375" t="s">
        <v>647</v>
      </c>
      <c r="J5" s="376">
        <v>33591.980000000003</v>
      </c>
      <c r="K5" s="376">
        <v>36951.18</v>
      </c>
      <c r="L5" s="377">
        <f t="shared" si="0"/>
        <v>9.0909140114063924E-2</v>
      </c>
      <c r="M5" s="378">
        <f t="shared" si="1"/>
        <v>3359.1999999999971</v>
      </c>
    </row>
    <row r="6" spans="1:13" ht="37.9" customHeight="1" x14ac:dyDescent="0.2">
      <c r="A6" s="743"/>
      <c r="B6" s="411">
        <f>126+77.94</f>
        <v>203.94</v>
      </c>
      <c r="C6" s="752" t="s">
        <v>664</v>
      </c>
      <c r="D6" s="753"/>
      <c r="I6" s="375"/>
      <c r="J6" s="376"/>
      <c r="K6" s="376"/>
      <c r="L6" s="377"/>
      <c r="M6" s="378"/>
    </row>
    <row r="7" spans="1:13" ht="37.9" customHeight="1" x14ac:dyDescent="0.2">
      <c r="A7" s="743"/>
      <c r="B7" s="411">
        <f>6750+11033.4</f>
        <v>17783.400000000001</v>
      </c>
      <c r="C7" s="752" t="s">
        <v>665</v>
      </c>
      <c r="D7" s="753"/>
      <c r="I7" s="375"/>
      <c r="J7" s="376"/>
      <c r="K7" s="376"/>
      <c r="L7" s="377"/>
      <c r="M7" s="378"/>
    </row>
    <row r="8" spans="1:13" ht="37.9" customHeight="1" x14ac:dyDescent="0.2">
      <c r="A8" s="743"/>
      <c r="B8" s="411">
        <v>12140.74</v>
      </c>
      <c r="C8" s="752" t="s">
        <v>666</v>
      </c>
      <c r="D8" s="753"/>
      <c r="I8" s="375"/>
      <c r="J8" s="376"/>
      <c r="K8" s="376"/>
      <c r="L8" s="377"/>
      <c r="M8" s="378"/>
    </row>
    <row r="9" spans="1:13" ht="27.6" customHeight="1" thickBot="1" x14ac:dyDescent="0.25">
      <c r="A9" s="744"/>
      <c r="B9" s="252">
        <f>SUM(B3:B8)</f>
        <v>254395.50999999998</v>
      </c>
      <c r="C9" s="750">
        <f>B9*10%</f>
        <v>25439.550999999999</v>
      </c>
      <c r="D9" s="751"/>
      <c r="I9" s="375" t="s">
        <v>653</v>
      </c>
      <c r="J9" s="376">
        <v>20038.41</v>
      </c>
      <c r="K9" s="376">
        <v>22042.25</v>
      </c>
      <c r="L9" s="379">
        <f t="shared" si="0"/>
        <v>9.0909049665982344E-2</v>
      </c>
      <c r="M9" s="378">
        <f t="shared" si="1"/>
        <v>2003.8400000000001</v>
      </c>
    </row>
    <row r="10" spans="1:13" ht="21.75" customHeight="1" x14ac:dyDescent="0.2">
      <c r="I10" s="375" t="s">
        <v>649</v>
      </c>
      <c r="J10" s="376">
        <v>43055.34</v>
      </c>
      <c r="K10" s="376">
        <v>47360.87</v>
      </c>
      <c r="L10" s="377">
        <f t="shared" si="0"/>
        <v>9.0909014129174737E-2</v>
      </c>
      <c r="M10" s="378">
        <f t="shared" si="1"/>
        <v>4305.5300000000061</v>
      </c>
    </row>
    <row r="11" spans="1:13" ht="27" customHeight="1" x14ac:dyDescent="0.2">
      <c r="I11" s="375" t="s">
        <v>650</v>
      </c>
      <c r="J11" s="376">
        <v>13979.42</v>
      </c>
      <c r="K11" s="376">
        <v>15377.36</v>
      </c>
      <c r="L11" s="377">
        <f t="shared" si="0"/>
        <v>9.0908972671511878E-2</v>
      </c>
      <c r="M11" s="378">
        <f t="shared" si="1"/>
        <v>1397.9400000000005</v>
      </c>
    </row>
    <row r="12" spans="1:13" ht="27" customHeight="1" x14ac:dyDescent="0.2">
      <c r="I12" s="375" t="s">
        <v>651</v>
      </c>
      <c r="J12" s="376">
        <v>27191.13</v>
      </c>
      <c r="K12" s="376">
        <v>29910.240000000002</v>
      </c>
      <c r="L12" s="377">
        <f t="shared" si="0"/>
        <v>9.0908999727183804E-2</v>
      </c>
      <c r="M12" s="378">
        <f t="shared" si="1"/>
        <v>2719.1100000000006</v>
      </c>
    </row>
    <row r="13" spans="1:13" ht="28.5" customHeight="1" x14ac:dyDescent="0.2">
      <c r="E13" s="253"/>
      <c r="I13" s="375" t="s">
        <v>652</v>
      </c>
      <c r="J13" s="376">
        <v>32540.39</v>
      </c>
      <c r="K13" s="376">
        <v>35794.43</v>
      </c>
      <c r="L13" s="377">
        <f t="shared" si="0"/>
        <v>9.0909116306643223E-2</v>
      </c>
      <c r="M13" s="378">
        <f t="shared" si="1"/>
        <v>3254.0400000000009</v>
      </c>
    </row>
    <row r="14" spans="1:13" ht="26.25" customHeight="1" x14ac:dyDescent="0.2">
      <c r="I14" s="375" t="s">
        <v>654</v>
      </c>
      <c r="J14" s="376">
        <v>10964.55</v>
      </c>
      <c r="K14" s="376">
        <v>12061.01</v>
      </c>
      <c r="L14" s="379">
        <f t="shared" si="0"/>
        <v>9.0909467780890707E-2</v>
      </c>
      <c r="M14" s="378">
        <f t="shared" si="1"/>
        <v>1096.4600000000009</v>
      </c>
    </row>
    <row r="15" spans="1:13" ht="34.5" customHeight="1" x14ac:dyDescent="0.2">
      <c r="I15" s="375" t="s">
        <v>655</v>
      </c>
      <c r="J15" s="376">
        <v>14276.52</v>
      </c>
      <c r="K15" s="376">
        <v>15704.17</v>
      </c>
      <c r="L15" s="377">
        <f t="shared" si="0"/>
        <v>9.0908975132082737E-2</v>
      </c>
      <c r="M15" s="378">
        <f t="shared" si="1"/>
        <v>1427.6499999999996</v>
      </c>
    </row>
    <row r="16" spans="1:13" ht="41.45" customHeight="1" thickBot="1" x14ac:dyDescent="0.25">
      <c r="I16" s="380" t="s">
        <v>621</v>
      </c>
      <c r="J16" s="381">
        <f>SUM(J3:J15)</f>
        <v>261061.77</v>
      </c>
      <c r="K16" s="381">
        <f>SUM(K3:K15)</f>
        <v>287167.94999999995</v>
      </c>
      <c r="L16" s="382"/>
      <c r="M16" s="383"/>
    </row>
    <row r="17" spans="6:11" x14ac:dyDescent="0.2">
      <c r="J17" s="254"/>
      <c r="K17" s="254"/>
    </row>
    <row r="19" spans="6:11" ht="51" customHeight="1" x14ac:dyDescent="0.2"/>
    <row r="20" spans="6:11" ht="37.9" customHeight="1" x14ac:dyDescent="0.2">
      <c r="F20" s="21"/>
    </row>
    <row r="21" spans="6:11" ht="37.15" customHeight="1" x14ac:dyDescent="0.2"/>
    <row r="22" spans="6:11" ht="24" customHeight="1" x14ac:dyDescent="0.2"/>
  </sheetData>
  <mergeCells count="9">
    <mergeCell ref="C2:D2"/>
    <mergeCell ref="A3:A9"/>
    <mergeCell ref="C3:D3"/>
    <mergeCell ref="C4:D4"/>
    <mergeCell ref="C5:D5"/>
    <mergeCell ref="C9:D9"/>
    <mergeCell ref="C6:D6"/>
    <mergeCell ref="C7:D7"/>
    <mergeCell ref="C8:D8"/>
  </mergeCells>
  <pageMargins left="1.23" right="0.77" top="0.75" bottom="0.75" header="0.3" footer="0.3"/>
  <pageSetup paperSize="5" scale="9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P53"/>
  <sheetViews>
    <sheetView view="pageBreakPreview" topLeftCell="A22" zoomScale="80" zoomScaleNormal="100" zoomScaleSheetLayoutView="80" workbookViewId="0">
      <selection activeCell="B49" sqref="B49"/>
    </sheetView>
  </sheetViews>
  <sheetFormatPr baseColWidth="10" defaultRowHeight="12.75" x14ac:dyDescent="0.2"/>
  <cols>
    <col min="1" max="1" width="5.5703125" customWidth="1"/>
    <col min="2" max="2" width="76.85546875" customWidth="1"/>
    <col min="3" max="3" width="21.7109375" customWidth="1"/>
    <col min="4" max="4" width="12.85546875" customWidth="1"/>
    <col min="5" max="5" width="16.42578125" customWidth="1"/>
    <col min="6" max="6" width="12.28515625" bestFit="1" customWidth="1"/>
  </cols>
  <sheetData>
    <row r="2" spans="1:16" ht="13.5" thickBot="1" x14ac:dyDescent="0.25"/>
    <row r="3" spans="1:16" ht="13.5" thickBot="1" x14ac:dyDescent="0.25">
      <c r="B3" s="436" t="s">
        <v>675</v>
      </c>
      <c r="C3" s="426" t="s">
        <v>677</v>
      </c>
    </row>
    <row r="4" spans="1:16" ht="13.5" thickBot="1" x14ac:dyDescent="0.25">
      <c r="B4" s="21"/>
      <c r="C4" s="21"/>
    </row>
    <row r="5" spans="1:16" ht="21" customHeight="1" x14ac:dyDescent="0.2">
      <c r="A5" s="508">
        <v>1</v>
      </c>
      <c r="B5" s="424" t="s">
        <v>674</v>
      </c>
      <c r="C5" s="437">
        <v>50000</v>
      </c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3"/>
    </row>
    <row r="6" spans="1:16" ht="30" customHeight="1" x14ac:dyDescent="0.2">
      <c r="A6" s="508">
        <v>2</v>
      </c>
      <c r="B6" s="420" t="s">
        <v>667</v>
      </c>
      <c r="C6" s="427">
        <v>25000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4"/>
      <c r="O6" s="414"/>
      <c r="P6" s="413"/>
    </row>
    <row r="7" spans="1:16" ht="26.25" customHeight="1" x14ac:dyDescent="0.2">
      <c r="A7" s="508">
        <v>3</v>
      </c>
      <c r="B7" s="425" t="s">
        <v>668</v>
      </c>
      <c r="C7" s="435">
        <f>103000-38000+1355.67</f>
        <v>66355.67</v>
      </c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6"/>
      <c r="P7" s="413"/>
    </row>
    <row r="8" spans="1:16" ht="39.75" customHeight="1" x14ac:dyDescent="0.2">
      <c r="A8" s="508">
        <v>4</v>
      </c>
      <c r="B8" s="421" t="s">
        <v>681</v>
      </c>
      <c r="C8" s="427">
        <v>60000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416"/>
      <c r="O8" s="416"/>
      <c r="P8" s="413"/>
    </row>
    <row r="9" spans="1:16" ht="36.75" customHeight="1" x14ac:dyDescent="0.2">
      <c r="A9" s="508">
        <v>5</v>
      </c>
      <c r="B9" s="420" t="s">
        <v>682</v>
      </c>
      <c r="C9" s="427">
        <f>50000-15000</f>
        <v>35000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415"/>
      <c r="O9" s="415"/>
    </row>
    <row r="10" spans="1:16" ht="39.75" customHeight="1" x14ac:dyDescent="0.2">
      <c r="A10" s="508">
        <v>6</v>
      </c>
      <c r="B10" s="420" t="s">
        <v>683</v>
      </c>
      <c r="C10" s="427">
        <v>20000</v>
      </c>
      <c r="D10" s="26"/>
      <c r="E10" s="26"/>
      <c r="F10" s="26"/>
      <c r="G10" s="26"/>
      <c r="H10" s="26"/>
      <c r="I10" s="26"/>
      <c r="J10" s="26"/>
      <c r="K10" s="415"/>
      <c r="L10" s="415"/>
      <c r="M10" s="415"/>
      <c r="N10" s="415"/>
      <c r="O10" s="415"/>
    </row>
    <row r="11" spans="1:16" ht="54.75" customHeight="1" x14ac:dyDescent="0.2">
      <c r="A11" s="508">
        <v>7</v>
      </c>
      <c r="B11" s="420" t="s">
        <v>684</v>
      </c>
      <c r="C11" s="427">
        <v>15000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15"/>
      <c r="O11" s="415"/>
    </row>
    <row r="12" spans="1:16" ht="35.25" customHeight="1" x14ac:dyDescent="0.2">
      <c r="A12" s="508">
        <v>8</v>
      </c>
      <c r="B12" s="420" t="s">
        <v>685</v>
      </c>
      <c r="C12" s="427">
        <v>45000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15"/>
      <c r="O12" s="415"/>
    </row>
    <row r="13" spans="1:16" ht="51" customHeight="1" x14ac:dyDescent="0.2">
      <c r="A13" s="508">
        <v>9</v>
      </c>
      <c r="B13" s="420" t="s">
        <v>688</v>
      </c>
      <c r="C13" s="427">
        <v>15000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15"/>
      <c r="O13" s="415"/>
    </row>
    <row r="14" spans="1:16" ht="37.5" customHeight="1" x14ac:dyDescent="0.2">
      <c r="A14" s="508">
        <v>10</v>
      </c>
      <c r="B14" s="420" t="s">
        <v>669</v>
      </c>
      <c r="C14" s="427">
        <v>5000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15"/>
      <c r="O14" s="415"/>
    </row>
    <row r="15" spans="1:16" ht="30.75" customHeight="1" x14ac:dyDescent="0.2">
      <c r="A15" s="508">
        <v>11</v>
      </c>
      <c r="B15" s="420" t="s">
        <v>670</v>
      </c>
      <c r="C15" s="427">
        <v>5000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15"/>
      <c r="O15" s="415"/>
    </row>
    <row r="16" spans="1:16" ht="51" customHeight="1" x14ac:dyDescent="0.2">
      <c r="A16" s="508">
        <v>12</v>
      </c>
      <c r="B16" s="420" t="s">
        <v>686</v>
      </c>
      <c r="C16" s="427">
        <v>5000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15"/>
      <c r="O16" s="415"/>
    </row>
    <row r="17" spans="1:15" ht="29.25" customHeight="1" x14ac:dyDescent="0.2">
      <c r="A17" s="508">
        <v>13</v>
      </c>
      <c r="B17" s="420" t="s">
        <v>687</v>
      </c>
      <c r="C17" s="427">
        <f>50000-15000</f>
        <v>35000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15"/>
      <c r="O17" s="415"/>
    </row>
    <row r="18" spans="1:15" ht="36.75" customHeight="1" x14ac:dyDescent="0.2">
      <c r="A18" s="508">
        <v>14</v>
      </c>
      <c r="B18" s="420" t="s">
        <v>671</v>
      </c>
      <c r="C18" s="427">
        <v>15000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15"/>
      <c r="O18" s="415"/>
    </row>
    <row r="19" spans="1:15" x14ac:dyDescent="0.2">
      <c r="A19" s="508"/>
      <c r="B19" s="422"/>
      <c r="C19" s="438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</row>
    <row r="20" spans="1:15" ht="32.25" customHeight="1" x14ac:dyDescent="0.2">
      <c r="A20" s="508">
        <v>15</v>
      </c>
      <c r="B20" s="428" t="s">
        <v>672</v>
      </c>
      <c r="C20" s="438">
        <v>12000</v>
      </c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</row>
    <row r="21" spans="1:15" ht="26.25" customHeight="1" x14ac:dyDescent="0.2">
      <c r="A21" s="508">
        <v>16</v>
      </c>
      <c r="B21" s="428" t="s">
        <v>678</v>
      </c>
      <c r="C21" s="438">
        <f>62500+25000-27500</f>
        <v>60000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</row>
    <row r="22" spans="1:15" x14ac:dyDescent="0.2">
      <c r="A22" s="508">
        <v>17</v>
      </c>
      <c r="B22" s="424" t="s">
        <v>673</v>
      </c>
      <c r="C22" s="438">
        <v>12500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</row>
    <row r="23" spans="1:15" x14ac:dyDescent="0.2">
      <c r="A23" s="508">
        <v>18</v>
      </c>
      <c r="B23" s="424" t="s">
        <v>676</v>
      </c>
      <c r="C23" s="438">
        <v>20000</v>
      </c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</row>
    <row r="24" spans="1:15" x14ac:dyDescent="0.2">
      <c r="A24" s="508">
        <v>19</v>
      </c>
      <c r="B24" s="424" t="s">
        <v>693</v>
      </c>
      <c r="C24" s="439">
        <v>85000</v>
      </c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</row>
    <row r="25" spans="1:15" x14ac:dyDescent="0.2">
      <c r="A25" s="508">
        <v>20</v>
      </c>
      <c r="B25" s="424" t="s">
        <v>695</v>
      </c>
      <c r="C25" s="439">
        <v>16503.02</v>
      </c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</row>
    <row r="26" spans="1:15" x14ac:dyDescent="0.2">
      <c r="A26" s="508">
        <v>21</v>
      </c>
      <c r="B26" s="424" t="s">
        <v>694</v>
      </c>
      <c r="C26" s="439">
        <v>15000</v>
      </c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</row>
    <row r="27" spans="1:15" x14ac:dyDescent="0.2">
      <c r="A27" s="508">
        <v>22</v>
      </c>
      <c r="B27" s="491" t="s">
        <v>679</v>
      </c>
      <c r="C27" s="439">
        <v>150000</v>
      </c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</row>
    <row r="28" spans="1:15" ht="13.5" thickBot="1" x14ac:dyDescent="0.25">
      <c r="B28" s="423"/>
      <c r="C28" s="440"/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</row>
    <row r="29" spans="1:15" ht="13.5" thickBot="1" x14ac:dyDescent="0.25">
      <c r="B29" s="441" t="s">
        <v>816</v>
      </c>
      <c r="C29" s="442">
        <f>SUM(C5:C28)</f>
        <v>767358.69</v>
      </c>
      <c r="D29" s="419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</row>
    <row r="30" spans="1:15" x14ac:dyDescent="0.2">
      <c r="B30" s="21"/>
      <c r="C30" s="21"/>
    </row>
    <row r="31" spans="1:15" ht="13.5" thickBot="1" x14ac:dyDescent="0.25">
      <c r="B31" s="21"/>
      <c r="C31" s="21"/>
      <c r="E31" s="21" t="s">
        <v>868</v>
      </c>
      <c r="F31" s="21" t="s">
        <v>869</v>
      </c>
    </row>
    <row r="32" spans="1:15" ht="30.75" customHeight="1" thickBot="1" x14ac:dyDescent="0.25">
      <c r="B32" s="429" t="s">
        <v>680</v>
      </c>
      <c r="C32" s="505">
        <v>2132231.84</v>
      </c>
      <c r="D32" s="451"/>
      <c r="E32" s="444">
        <v>1744947.12</v>
      </c>
      <c r="F32" s="444"/>
    </row>
    <row r="33" spans="2:4" x14ac:dyDescent="0.2">
      <c r="B33" s="21"/>
      <c r="C33" s="21"/>
      <c r="D33" s="451"/>
    </row>
    <row r="34" spans="2:4" ht="13.5" thickBot="1" x14ac:dyDescent="0.25">
      <c r="B34" s="21"/>
      <c r="C34" s="21"/>
      <c r="D34" s="451"/>
    </row>
    <row r="35" spans="2:4" ht="26.25" thickBot="1" x14ac:dyDescent="0.25">
      <c r="B35" s="443" t="s">
        <v>866</v>
      </c>
      <c r="C35" s="495">
        <f>C32-C29</f>
        <v>1364873.15</v>
      </c>
      <c r="D35" s="498"/>
    </row>
    <row r="36" spans="2:4" x14ac:dyDescent="0.2">
      <c r="D36" s="506"/>
    </row>
    <row r="37" spans="2:4" x14ac:dyDescent="0.2">
      <c r="B37" s="21" t="s">
        <v>906</v>
      </c>
      <c r="C37" s="200">
        <v>812598.43</v>
      </c>
    </row>
    <row r="38" spans="2:4" x14ac:dyDescent="0.2">
      <c r="C38" s="496">
        <f>C35-C37</f>
        <v>552274.71999999986</v>
      </c>
    </row>
    <row r="40" spans="2:4" ht="25.5" x14ac:dyDescent="0.2">
      <c r="B40" s="497" t="s">
        <v>806</v>
      </c>
      <c r="C40" s="451">
        <f>552274.72-93914.07</f>
        <v>458360.64999999997</v>
      </c>
    </row>
    <row r="41" spans="2:4" ht="24.75" customHeight="1" x14ac:dyDescent="0.2">
      <c r="B41" s="42" t="s">
        <v>905</v>
      </c>
      <c r="C41" s="444">
        <v>93914.07</v>
      </c>
    </row>
    <row r="43" spans="2:4" x14ac:dyDescent="0.2">
      <c r="B43" s="21" t="s">
        <v>867</v>
      </c>
      <c r="C43" s="527">
        <f>C35-C37-C40-C41</f>
        <v>-1.1641532182693481E-10</v>
      </c>
    </row>
    <row r="45" spans="2:4" x14ac:dyDescent="0.2">
      <c r="B45" s="528" t="s">
        <v>861</v>
      </c>
    </row>
    <row r="46" spans="2:4" x14ac:dyDescent="0.2">
      <c r="B46" s="529" t="s">
        <v>862</v>
      </c>
      <c r="C46" s="531">
        <v>767358.69</v>
      </c>
    </row>
    <row r="47" spans="2:4" x14ac:dyDescent="0.2">
      <c r="B47" s="529" t="s">
        <v>863</v>
      </c>
      <c r="C47" s="531">
        <v>812598.43</v>
      </c>
    </row>
    <row r="48" spans="2:4" x14ac:dyDescent="0.2">
      <c r="B48" s="529" t="s">
        <v>864</v>
      </c>
      <c r="C48" s="531">
        <v>458360.65</v>
      </c>
    </row>
    <row r="49" spans="2:3" ht="13.5" thickBot="1" x14ac:dyDescent="0.25">
      <c r="B49" s="530" t="s">
        <v>865</v>
      </c>
      <c r="C49" s="531">
        <v>93914.07</v>
      </c>
    </row>
    <row r="50" spans="2:3" ht="13.5" thickBot="1" x14ac:dyDescent="0.25">
      <c r="B50" s="506"/>
      <c r="C50" s="532">
        <f>SUM(C46:C49)</f>
        <v>2132231.84</v>
      </c>
    </row>
    <row r="52" spans="2:3" x14ac:dyDescent="0.2">
      <c r="B52" s="21"/>
      <c r="C52" s="21"/>
    </row>
    <row r="53" spans="2:3" x14ac:dyDescent="0.2">
      <c r="B53" s="444"/>
      <c r="C53" s="444"/>
    </row>
  </sheetData>
  <pageMargins left="0.7" right="0.7" top="0.75" bottom="0.75" header="0.3" footer="0.3"/>
  <pageSetup paperSize="5" scale="80" orientation="portrait" r:id="rId1"/>
  <rowBreaks count="2" manualBreakCount="2">
    <brk id="56" max="14" man="1"/>
    <brk id="59" max="14" man="1"/>
  </rowBreaks>
  <colBreaks count="2" manualBreakCount="2">
    <brk id="3" max="64" man="1"/>
    <brk id="8" max="64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292"/>
  <sheetViews>
    <sheetView view="pageBreakPreview" topLeftCell="A241" zoomScaleNormal="100" zoomScaleSheetLayoutView="100" workbookViewId="0">
      <selection activeCell="C170" sqref="C170:C174"/>
    </sheetView>
  </sheetViews>
  <sheetFormatPr baseColWidth="10" defaultRowHeight="12.75" x14ac:dyDescent="0.2"/>
  <cols>
    <col min="2" max="2" width="49" customWidth="1"/>
    <col min="3" max="3" width="18" customWidth="1"/>
    <col min="8" max="8" width="12.42578125" bestFit="1" customWidth="1"/>
  </cols>
  <sheetData>
    <row r="2" spans="1:12" x14ac:dyDescent="0.2">
      <c r="A2" s="754" t="s">
        <v>703</v>
      </c>
      <c r="B2" s="754"/>
    </row>
    <row r="5" spans="1:12" x14ac:dyDescent="0.2">
      <c r="C5" s="451"/>
    </row>
    <row r="6" spans="1:12" x14ac:dyDescent="0.2">
      <c r="A6" t="s">
        <v>714</v>
      </c>
      <c r="C6" s="451"/>
    </row>
    <row r="7" spans="1:12" ht="13.5" thickBot="1" x14ac:dyDescent="0.25">
      <c r="C7" s="451"/>
    </row>
    <row r="8" spans="1:12" ht="13.5" thickBot="1" x14ac:dyDescent="0.25">
      <c r="A8" s="452" t="s">
        <v>704</v>
      </c>
      <c r="B8" s="453" t="s">
        <v>705</v>
      </c>
      <c r="C8" s="757" t="s">
        <v>706</v>
      </c>
      <c r="D8" s="758"/>
    </row>
    <row r="9" spans="1:12" x14ac:dyDescent="0.2">
      <c r="A9" s="481">
        <v>55603</v>
      </c>
      <c r="B9" s="454" t="s">
        <v>710</v>
      </c>
      <c r="C9" s="755">
        <v>10</v>
      </c>
      <c r="D9" s="756"/>
      <c r="E9" s="455"/>
      <c r="F9" s="455"/>
      <c r="G9" s="455"/>
      <c r="H9" s="455"/>
      <c r="I9" s="455"/>
      <c r="J9" s="455"/>
      <c r="K9" s="455"/>
      <c r="L9" s="455"/>
    </row>
    <row r="10" spans="1:12" x14ac:dyDescent="0.2">
      <c r="A10" s="482">
        <v>54399</v>
      </c>
      <c r="B10" s="456" t="s">
        <v>713</v>
      </c>
      <c r="C10" s="763">
        <v>16000</v>
      </c>
      <c r="D10" s="764"/>
      <c r="E10" s="455"/>
      <c r="F10" s="455"/>
      <c r="G10" s="455"/>
      <c r="H10" s="455"/>
      <c r="I10" s="455"/>
      <c r="J10" s="455"/>
      <c r="K10" s="455"/>
      <c r="L10" s="455"/>
    </row>
    <row r="11" spans="1:12" x14ac:dyDescent="0.2">
      <c r="A11" s="482">
        <v>61501</v>
      </c>
      <c r="B11" s="456"/>
      <c r="C11" s="763">
        <v>18000</v>
      </c>
      <c r="D11" s="764"/>
      <c r="E11" s="455"/>
      <c r="F11" s="455"/>
      <c r="G11" s="455"/>
      <c r="H11" s="455"/>
      <c r="I11" s="455"/>
      <c r="J11" s="455"/>
      <c r="K11" s="455"/>
      <c r="L11" s="455"/>
    </row>
    <row r="12" spans="1:12" ht="13.5" thickBot="1" x14ac:dyDescent="0.25">
      <c r="A12" s="482">
        <v>61699</v>
      </c>
      <c r="B12" s="456"/>
      <c r="C12" s="761">
        <v>15990</v>
      </c>
      <c r="D12" s="762"/>
      <c r="E12" s="455"/>
      <c r="F12" s="455"/>
      <c r="G12" s="455"/>
      <c r="H12" s="455"/>
      <c r="I12" s="455"/>
      <c r="J12" s="455"/>
      <c r="K12" s="455"/>
      <c r="L12" s="455"/>
    </row>
    <row r="13" spans="1:12" ht="15.75" thickBot="1" x14ac:dyDescent="0.25">
      <c r="A13" s="458"/>
      <c r="B13" s="459" t="s">
        <v>253</v>
      </c>
      <c r="C13" s="759">
        <f>SUM(C9:C12)</f>
        <v>50000</v>
      </c>
      <c r="D13" s="760"/>
      <c r="E13" s="455"/>
      <c r="F13" s="460"/>
      <c r="G13" s="455"/>
      <c r="H13" s="455"/>
      <c r="I13" s="455"/>
      <c r="J13" s="455"/>
      <c r="K13" s="455"/>
      <c r="L13" s="455"/>
    </row>
    <row r="15" spans="1:12" ht="24.75" customHeight="1" x14ac:dyDescent="0.2">
      <c r="A15" s="785" t="s">
        <v>715</v>
      </c>
      <c r="B15" s="785"/>
      <c r="C15" s="785"/>
      <c r="D15" s="785"/>
    </row>
    <row r="16" spans="1:12" ht="13.5" thickBot="1" x14ac:dyDescent="0.25"/>
    <row r="17" spans="1:13" ht="13.5" thickBot="1" x14ac:dyDescent="0.25">
      <c r="A17" s="452" t="s">
        <v>704</v>
      </c>
      <c r="B17" s="453" t="s">
        <v>705</v>
      </c>
      <c r="C17" s="769" t="s">
        <v>706</v>
      </c>
      <c r="D17" s="770"/>
    </row>
    <row r="18" spans="1:13" x14ac:dyDescent="0.2">
      <c r="A18" s="481">
        <v>54119</v>
      </c>
      <c r="B18" s="454" t="s">
        <v>707</v>
      </c>
      <c r="C18" s="771">
        <v>13100</v>
      </c>
      <c r="D18" s="772"/>
    </row>
    <row r="19" spans="1:13" x14ac:dyDescent="0.2">
      <c r="A19" s="482">
        <v>54112</v>
      </c>
      <c r="B19" s="456" t="s">
        <v>708</v>
      </c>
      <c r="C19" s="767">
        <v>10129</v>
      </c>
      <c r="D19" s="768"/>
    </row>
    <row r="20" spans="1:13" x14ac:dyDescent="0.2">
      <c r="A20" s="482">
        <v>54118</v>
      </c>
      <c r="B20" s="456" t="s">
        <v>709</v>
      </c>
      <c r="C20" s="767">
        <v>1469</v>
      </c>
      <c r="D20" s="768"/>
      <c r="H20" s="444">
        <f>SUM(C13,C24,C45,C65,C86,C97,C109,C119,C130,C145,C160,C175,C190,C204,C213,C227,C237,C247,C255,C263,C272,C280)+70000</f>
        <v>837358.69</v>
      </c>
    </row>
    <row r="21" spans="1:13" x14ac:dyDescent="0.2">
      <c r="A21" s="482">
        <v>55603</v>
      </c>
      <c r="B21" s="456" t="s">
        <v>710</v>
      </c>
      <c r="C21" s="767">
        <v>10</v>
      </c>
      <c r="D21" s="768"/>
    </row>
    <row r="22" spans="1:13" x14ac:dyDescent="0.2">
      <c r="A22" s="482">
        <v>54111</v>
      </c>
      <c r="B22" s="456" t="s">
        <v>711</v>
      </c>
      <c r="C22" s="767">
        <v>140</v>
      </c>
      <c r="D22" s="768"/>
    </row>
    <row r="23" spans="1:13" ht="13.5" thickBot="1" x14ac:dyDescent="0.25">
      <c r="A23" s="483">
        <v>54107</v>
      </c>
      <c r="B23" s="457" t="s">
        <v>712</v>
      </c>
      <c r="C23" s="773">
        <v>152</v>
      </c>
      <c r="D23" s="774"/>
    </row>
    <row r="24" spans="1:13" ht="15.75" thickBot="1" x14ac:dyDescent="0.25">
      <c r="A24" s="458"/>
      <c r="B24" s="459" t="s">
        <v>253</v>
      </c>
      <c r="C24" s="775">
        <f>SUM(C18:C23)</f>
        <v>25000</v>
      </c>
      <c r="D24" s="776"/>
    </row>
    <row r="27" spans="1:13" ht="30.75" customHeight="1" x14ac:dyDescent="0.2">
      <c r="A27" s="781" t="s">
        <v>668</v>
      </c>
      <c r="B27" s="781"/>
      <c r="C27" s="781"/>
      <c r="D27" s="781"/>
      <c r="E27" s="539"/>
      <c r="F27" s="539"/>
      <c r="G27" s="539"/>
      <c r="H27" s="539"/>
      <c r="I27" s="539"/>
      <c r="J27" s="539"/>
      <c r="K27" s="539"/>
      <c r="L27" s="539"/>
      <c r="M27" s="539"/>
    </row>
    <row r="28" spans="1:13" x14ac:dyDescent="0.2">
      <c r="A28" s="539"/>
      <c r="B28" s="539"/>
      <c r="C28" s="539"/>
      <c r="D28" s="539"/>
      <c r="E28" s="539"/>
      <c r="F28" s="539"/>
      <c r="G28" s="539"/>
      <c r="H28" s="539"/>
      <c r="I28" s="539"/>
      <c r="J28" s="539"/>
      <c r="K28" s="539"/>
      <c r="L28" s="539"/>
      <c r="M28" s="539"/>
    </row>
    <row r="29" spans="1:13" x14ac:dyDescent="0.2">
      <c r="A29" s="455" t="s">
        <v>716</v>
      </c>
      <c r="B29" s="455"/>
      <c r="C29" s="461"/>
      <c r="D29" s="455"/>
      <c r="E29" s="455"/>
      <c r="F29" s="455"/>
      <c r="G29" s="455"/>
      <c r="H29" s="455"/>
      <c r="I29" s="455"/>
      <c r="J29" s="455"/>
      <c r="K29" s="455"/>
      <c r="L29" s="455"/>
      <c r="M29" s="455"/>
    </row>
    <row r="30" spans="1:13" ht="13.5" thickBot="1" x14ac:dyDescent="0.25">
      <c r="A30" s="455"/>
      <c r="B30" s="455"/>
      <c r="C30" s="461"/>
      <c r="D30" s="455"/>
      <c r="E30" s="455"/>
      <c r="F30" s="462"/>
      <c r="G30" s="455"/>
      <c r="H30" s="455"/>
      <c r="I30" s="455"/>
      <c r="J30" s="455"/>
      <c r="K30" s="455"/>
      <c r="L30" s="455"/>
      <c r="M30" s="455"/>
    </row>
    <row r="31" spans="1:13" x14ac:dyDescent="0.2">
      <c r="A31" s="463" t="s">
        <v>717</v>
      </c>
      <c r="B31" s="464" t="s">
        <v>718</v>
      </c>
      <c r="C31" s="777" t="s">
        <v>706</v>
      </c>
      <c r="D31" s="778"/>
      <c r="E31" s="455"/>
      <c r="F31" s="462"/>
      <c r="G31" s="455"/>
      <c r="H31" s="455"/>
      <c r="I31" s="455"/>
      <c r="J31" s="455"/>
      <c r="K31" s="455"/>
      <c r="L31" s="455"/>
      <c r="M31" s="455"/>
    </row>
    <row r="32" spans="1:13" x14ac:dyDescent="0.2">
      <c r="A32" s="482">
        <v>54109</v>
      </c>
      <c r="B32" s="465" t="s">
        <v>719</v>
      </c>
      <c r="C32" s="779">
        <v>9000</v>
      </c>
      <c r="D32" s="780"/>
      <c r="E32" s="455"/>
      <c r="F32" s="462"/>
      <c r="G32" s="455"/>
      <c r="H32" s="455"/>
      <c r="I32" s="455"/>
      <c r="J32" s="455"/>
      <c r="K32" s="455"/>
      <c r="L32" s="455"/>
      <c r="M32" s="455"/>
    </row>
    <row r="33" spans="1:13" x14ac:dyDescent="0.2">
      <c r="A33" s="482">
        <v>54118</v>
      </c>
      <c r="B33" s="466" t="s">
        <v>720</v>
      </c>
      <c r="C33" s="765">
        <v>925</v>
      </c>
      <c r="D33" s="766"/>
      <c r="E33" s="455"/>
      <c r="F33" s="462"/>
      <c r="G33" s="455"/>
      <c r="H33" s="455"/>
      <c r="I33" s="455"/>
      <c r="J33" s="455"/>
      <c r="K33" s="455"/>
      <c r="L33" s="455"/>
      <c r="M33" s="455"/>
    </row>
    <row r="34" spans="1:13" x14ac:dyDescent="0.2">
      <c r="A34" s="482">
        <v>61105</v>
      </c>
      <c r="B34" s="467" t="s">
        <v>721</v>
      </c>
      <c r="C34" s="765">
        <v>23010</v>
      </c>
      <c r="D34" s="766"/>
      <c r="E34" s="455"/>
      <c r="F34" s="462"/>
      <c r="G34" s="455"/>
      <c r="H34" s="455"/>
      <c r="I34" s="455"/>
      <c r="J34" s="455"/>
      <c r="K34" s="455"/>
      <c r="L34" s="455"/>
      <c r="M34" s="455"/>
    </row>
    <row r="35" spans="1:13" x14ac:dyDescent="0.2">
      <c r="A35" s="482">
        <v>61108</v>
      </c>
      <c r="B35" s="468" t="s">
        <v>722</v>
      </c>
      <c r="C35" s="765">
        <v>500</v>
      </c>
      <c r="D35" s="766"/>
      <c r="E35" s="455"/>
      <c r="F35" s="462"/>
      <c r="G35" s="455"/>
      <c r="H35" s="455"/>
      <c r="I35" s="455"/>
      <c r="J35" s="455"/>
      <c r="K35" s="455"/>
      <c r="L35" s="455"/>
      <c r="M35" s="455"/>
    </row>
    <row r="36" spans="1:13" x14ac:dyDescent="0.2">
      <c r="A36" s="482">
        <v>54110</v>
      </c>
      <c r="B36" s="468" t="s">
        <v>723</v>
      </c>
      <c r="C36" s="765">
        <v>16800</v>
      </c>
      <c r="D36" s="766"/>
      <c r="E36" s="455"/>
      <c r="F36" s="462"/>
      <c r="G36" s="455"/>
      <c r="H36" s="455"/>
      <c r="I36" s="455"/>
      <c r="J36" s="455"/>
      <c r="K36" s="455"/>
      <c r="L36" s="455"/>
      <c r="M36" s="455"/>
    </row>
    <row r="37" spans="1:13" x14ac:dyDescent="0.2">
      <c r="A37" s="482">
        <v>54104</v>
      </c>
      <c r="B37" s="466" t="s">
        <v>724</v>
      </c>
      <c r="C37" s="765">
        <v>1605</v>
      </c>
      <c r="D37" s="766"/>
      <c r="E37" s="455"/>
      <c r="F37" s="462"/>
      <c r="G37" s="455"/>
      <c r="H37" s="455"/>
      <c r="I37" s="455"/>
      <c r="J37" s="455"/>
      <c r="K37" s="455"/>
      <c r="L37" s="455"/>
      <c r="M37" s="455"/>
    </row>
    <row r="38" spans="1:13" x14ac:dyDescent="0.2">
      <c r="A38" s="482">
        <v>54106</v>
      </c>
      <c r="B38" s="469" t="s">
        <v>725</v>
      </c>
      <c r="C38" s="765">
        <f>960-105.98</f>
        <v>854.02</v>
      </c>
      <c r="D38" s="766"/>
      <c r="E38" s="455"/>
      <c r="F38" s="462"/>
      <c r="G38" s="455"/>
      <c r="H38" s="455"/>
      <c r="I38" s="455"/>
      <c r="J38" s="455"/>
      <c r="K38" s="455"/>
      <c r="L38" s="455"/>
      <c r="M38" s="455"/>
    </row>
    <row r="39" spans="1:13" x14ac:dyDescent="0.2">
      <c r="A39" s="482">
        <v>54199</v>
      </c>
      <c r="B39" s="468" t="s">
        <v>726</v>
      </c>
      <c r="C39" s="765">
        <v>785</v>
      </c>
      <c r="D39" s="766"/>
      <c r="E39" s="455"/>
      <c r="F39" s="462"/>
      <c r="G39" s="455"/>
      <c r="H39" s="455"/>
      <c r="I39" s="455"/>
      <c r="J39" s="455"/>
      <c r="K39" s="455"/>
      <c r="L39" s="455"/>
      <c r="M39" s="455"/>
    </row>
    <row r="40" spans="1:13" x14ac:dyDescent="0.2">
      <c r="A40" s="482">
        <v>54316</v>
      </c>
      <c r="B40" s="470" t="s">
        <v>727</v>
      </c>
      <c r="C40" s="765">
        <v>500</v>
      </c>
      <c r="D40" s="766"/>
      <c r="E40" s="455"/>
      <c r="F40" s="462"/>
      <c r="G40" s="455"/>
      <c r="H40" s="455"/>
      <c r="I40" s="455"/>
      <c r="J40" s="455"/>
      <c r="K40" s="455"/>
      <c r="L40" s="455"/>
      <c r="M40" s="455"/>
    </row>
    <row r="41" spans="1:13" x14ac:dyDescent="0.2">
      <c r="A41" s="482">
        <v>55603</v>
      </c>
      <c r="B41" s="470" t="s">
        <v>728</v>
      </c>
      <c r="C41" s="782">
        <v>10</v>
      </c>
      <c r="D41" s="783"/>
      <c r="E41" s="455"/>
      <c r="F41" s="462"/>
      <c r="G41" s="455"/>
      <c r="H41" s="455"/>
      <c r="I41" s="455"/>
      <c r="J41" s="455"/>
      <c r="K41" s="455"/>
      <c r="L41" s="455"/>
      <c r="M41" s="455"/>
    </row>
    <row r="42" spans="1:13" x14ac:dyDescent="0.2">
      <c r="A42" s="482">
        <v>51202</v>
      </c>
      <c r="B42" s="470" t="s">
        <v>729</v>
      </c>
      <c r="C42" s="765">
        <v>10101.65</v>
      </c>
      <c r="D42" s="766"/>
      <c r="E42" s="455"/>
      <c r="F42" s="462"/>
      <c r="G42" s="455"/>
      <c r="H42" s="455"/>
      <c r="I42" s="455"/>
      <c r="J42" s="455"/>
      <c r="K42" s="455"/>
      <c r="L42" s="455"/>
      <c r="M42" s="455"/>
    </row>
    <row r="43" spans="1:13" x14ac:dyDescent="0.2">
      <c r="A43" s="482">
        <v>54111</v>
      </c>
      <c r="B43" s="470" t="s">
        <v>730</v>
      </c>
      <c r="C43" s="765">
        <v>700</v>
      </c>
      <c r="D43" s="766"/>
      <c r="E43" s="455"/>
      <c r="F43" s="462"/>
      <c r="G43" s="455"/>
      <c r="H43" s="455"/>
      <c r="I43" s="455"/>
      <c r="J43" s="455"/>
      <c r="K43" s="455"/>
      <c r="L43" s="455"/>
      <c r="M43" s="455"/>
    </row>
    <row r="44" spans="1:13" ht="13.5" thickBot="1" x14ac:dyDescent="0.25">
      <c r="A44" s="483">
        <v>54112</v>
      </c>
      <c r="B44" s="471" t="s">
        <v>731</v>
      </c>
      <c r="C44" s="787">
        <v>1565</v>
      </c>
      <c r="D44" s="788"/>
      <c r="E44" s="455"/>
      <c r="F44" s="462"/>
      <c r="G44" s="455"/>
      <c r="H44" s="455"/>
      <c r="I44" s="455"/>
      <c r="J44" s="455"/>
      <c r="K44" s="455"/>
      <c r="L44" s="455"/>
      <c r="M44" s="455"/>
    </row>
    <row r="45" spans="1:13" ht="16.5" thickBot="1" x14ac:dyDescent="0.25">
      <c r="A45" s="484"/>
      <c r="B45" s="485" t="s">
        <v>253</v>
      </c>
      <c r="C45" s="789">
        <f>SUM(C32:C44)</f>
        <v>66355.67</v>
      </c>
      <c r="D45" s="790"/>
      <c r="F45" s="472"/>
    </row>
    <row r="49" spans="1:12" ht="26.25" customHeight="1" x14ac:dyDescent="0.2">
      <c r="A49" s="784" t="s">
        <v>803</v>
      </c>
      <c r="B49" s="784"/>
      <c r="C49" s="784"/>
      <c r="D49" s="784"/>
      <c r="E49" s="179"/>
      <c r="F49" s="179"/>
      <c r="G49" s="179"/>
      <c r="H49" s="179"/>
      <c r="I49" s="179"/>
      <c r="J49" s="179"/>
      <c r="K49" s="179"/>
      <c r="L49" s="179"/>
    </row>
    <row r="50" spans="1:12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x14ac:dyDescent="0.2">
      <c r="A51" t="s">
        <v>732</v>
      </c>
      <c r="C51" s="451"/>
    </row>
    <row r="52" spans="1:12" x14ac:dyDescent="0.2">
      <c r="C52" s="451"/>
    </row>
    <row r="53" spans="1:12" x14ac:dyDescent="0.2">
      <c r="A53" s="478" t="s">
        <v>717</v>
      </c>
      <c r="B53" s="477" t="s">
        <v>705</v>
      </c>
      <c r="C53" s="538" t="s">
        <v>733</v>
      </c>
    </row>
    <row r="54" spans="1:12" x14ac:dyDescent="0.2">
      <c r="A54" s="486">
        <v>54112</v>
      </c>
      <c r="B54" s="478" t="s">
        <v>734</v>
      </c>
      <c r="C54" s="487">
        <v>17730</v>
      </c>
    </row>
    <row r="55" spans="1:12" x14ac:dyDescent="0.2">
      <c r="A55" s="486">
        <v>54104</v>
      </c>
      <c r="B55" s="478" t="s">
        <v>735</v>
      </c>
      <c r="C55" s="487">
        <v>20968</v>
      </c>
    </row>
    <row r="56" spans="1:12" x14ac:dyDescent="0.2">
      <c r="A56" s="486">
        <v>54106</v>
      </c>
      <c r="B56" s="478" t="s">
        <v>736</v>
      </c>
      <c r="C56" s="487">
        <v>9352.5</v>
      </c>
    </row>
    <row r="57" spans="1:12" x14ac:dyDescent="0.2">
      <c r="A57" s="486"/>
      <c r="B57" s="478"/>
      <c r="C57" s="487"/>
    </row>
    <row r="58" spans="1:12" x14ac:dyDescent="0.2">
      <c r="A58" s="486">
        <v>54305</v>
      </c>
      <c r="B58" s="478" t="s">
        <v>737</v>
      </c>
      <c r="C58" s="487">
        <v>153.85</v>
      </c>
    </row>
    <row r="59" spans="1:12" x14ac:dyDescent="0.2">
      <c r="A59" s="486">
        <v>51999</v>
      </c>
      <c r="B59" s="478" t="s">
        <v>738</v>
      </c>
      <c r="C59" s="487">
        <v>9950</v>
      </c>
    </row>
    <row r="60" spans="1:12" x14ac:dyDescent="0.2">
      <c r="A60" s="486">
        <v>54316</v>
      </c>
      <c r="B60" s="478" t="s">
        <v>739</v>
      </c>
      <c r="C60" s="487">
        <v>795.65</v>
      </c>
    </row>
    <row r="61" spans="1:12" x14ac:dyDescent="0.2">
      <c r="A61" s="486"/>
      <c r="B61" s="478"/>
      <c r="C61" s="487"/>
    </row>
    <row r="62" spans="1:12" x14ac:dyDescent="0.2">
      <c r="A62" s="486">
        <v>54304</v>
      </c>
      <c r="B62" s="478" t="s">
        <v>740</v>
      </c>
      <c r="C62" s="487">
        <v>600</v>
      </c>
    </row>
    <row r="63" spans="1:12" x14ac:dyDescent="0.2">
      <c r="A63" s="486">
        <v>55603</v>
      </c>
      <c r="B63" s="478" t="s">
        <v>710</v>
      </c>
      <c r="C63" s="487">
        <v>10</v>
      </c>
    </row>
    <row r="64" spans="1:12" x14ac:dyDescent="0.2">
      <c r="A64" s="486">
        <v>54199</v>
      </c>
      <c r="B64" s="478" t="s">
        <v>741</v>
      </c>
      <c r="C64" s="487">
        <v>440</v>
      </c>
    </row>
    <row r="65" spans="1:12" ht="15" x14ac:dyDescent="0.25">
      <c r="A65" s="478"/>
      <c r="B65" s="488" t="s">
        <v>253</v>
      </c>
      <c r="C65" s="489">
        <f>SUM(C54:C64)</f>
        <v>60000</v>
      </c>
    </row>
    <row r="69" spans="1:12" ht="12.75" customHeight="1" x14ac:dyDescent="0.2">
      <c r="A69" s="784" t="s">
        <v>754</v>
      </c>
      <c r="B69" s="784"/>
      <c r="C69" s="784"/>
      <c r="D69" s="784"/>
      <c r="E69" s="537"/>
      <c r="F69" s="537"/>
      <c r="G69" s="537"/>
      <c r="H69" s="537"/>
      <c r="I69" s="537"/>
      <c r="J69" s="537"/>
      <c r="K69" s="537"/>
      <c r="L69" s="537"/>
    </row>
    <row r="70" spans="1:12" x14ac:dyDescent="0.2">
      <c r="A70" s="537"/>
      <c r="B70" s="537"/>
      <c r="C70" s="537"/>
      <c r="D70" s="537"/>
      <c r="E70" s="537"/>
      <c r="F70" s="537"/>
      <c r="G70" s="537"/>
      <c r="H70" s="537"/>
      <c r="I70" s="537"/>
      <c r="J70" s="537"/>
      <c r="K70" s="537"/>
      <c r="L70" s="537"/>
    </row>
    <row r="71" spans="1:12" x14ac:dyDescent="0.2">
      <c r="A71" t="s">
        <v>742</v>
      </c>
      <c r="C71" s="451"/>
    </row>
    <row r="72" spans="1:12" x14ac:dyDescent="0.2">
      <c r="C72" s="451"/>
    </row>
    <row r="73" spans="1:12" x14ac:dyDescent="0.2">
      <c r="A73" s="477" t="s">
        <v>743</v>
      </c>
      <c r="B73" s="477" t="s">
        <v>744</v>
      </c>
      <c r="C73" s="476" t="s">
        <v>745</v>
      </c>
    </row>
    <row r="74" spans="1:12" x14ac:dyDescent="0.2">
      <c r="A74" s="486">
        <v>51202</v>
      </c>
      <c r="B74" s="478" t="s">
        <v>729</v>
      </c>
      <c r="C74" s="479">
        <v>14160</v>
      </c>
    </row>
    <row r="75" spans="1:12" x14ac:dyDescent="0.2">
      <c r="A75" s="486">
        <v>54111</v>
      </c>
      <c r="B75" s="478" t="s">
        <v>746</v>
      </c>
      <c r="C75" s="479">
        <v>1300</v>
      </c>
    </row>
    <row r="76" spans="1:12" x14ac:dyDescent="0.2">
      <c r="A76" s="486">
        <v>54112</v>
      </c>
      <c r="B76" s="478" t="s">
        <v>734</v>
      </c>
      <c r="C76" s="479">
        <v>8400</v>
      </c>
    </row>
    <row r="77" spans="1:12" x14ac:dyDescent="0.2">
      <c r="A77" s="486">
        <v>54103</v>
      </c>
      <c r="B77" s="478" t="s">
        <v>747</v>
      </c>
      <c r="C77" s="479">
        <v>80</v>
      </c>
    </row>
    <row r="78" spans="1:12" x14ac:dyDescent="0.2">
      <c r="A78" s="486">
        <v>54107</v>
      </c>
      <c r="B78" s="478" t="s">
        <v>748</v>
      </c>
      <c r="C78" s="479">
        <v>5819</v>
      </c>
    </row>
    <row r="79" spans="1:12" x14ac:dyDescent="0.2">
      <c r="A79" s="486">
        <v>55603</v>
      </c>
      <c r="B79" s="478" t="s">
        <v>728</v>
      </c>
      <c r="C79" s="479">
        <v>10</v>
      </c>
    </row>
    <row r="80" spans="1:12" x14ac:dyDescent="0.2">
      <c r="A80" s="486">
        <v>54316</v>
      </c>
      <c r="B80" s="478" t="s">
        <v>749</v>
      </c>
      <c r="C80" s="479">
        <v>2706</v>
      </c>
    </row>
    <row r="81" spans="1:9" x14ac:dyDescent="0.2">
      <c r="A81" s="486">
        <v>54110</v>
      </c>
      <c r="B81" s="478" t="s">
        <v>750</v>
      </c>
      <c r="C81" s="479">
        <v>1320</v>
      </c>
    </row>
    <row r="82" spans="1:9" x14ac:dyDescent="0.2">
      <c r="A82" s="486">
        <v>54199</v>
      </c>
      <c r="B82" s="478" t="s">
        <v>741</v>
      </c>
      <c r="C82" s="479">
        <v>425</v>
      </c>
    </row>
    <row r="83" spans="1:9" x14ac:dyDescent="0.2">
      <c r="A83" s="486">
        <v>54106</v>
      </c>
      <c r="B83" s="478" t="s">
        <v>736</v>
      </c>
      <c r="C83" s="479">
        <v>80</v>
      </c>
    </row>
    <row r="84" spans="1:9" x14ac:dyDescent="0.2">
      <c r="A84" s="486">
        <v>61109</v>
      </c>
      <c r="B84" s="478" t="s">
        <v>751</v>
      </c>
      <c r="C84" s="479">
        <v>400</v>
      </c>
    </row>
    <row r="85" spans="1:9" x14ac:dyDescent="0.2">
      <c r="A85" s="486">
        <v>54105</v>
      </c>
      <c r="B85" s="478" t="s">
        <v>752</v>
      </c>
      <c r="C85" s="479">
        <v>300</v>
      </c>
    </row>
    <row r="86" spans="1:9" ht="15" x14ac:dyDescent="0.25">
      <c r="A86" s="478"/>
      <c r="B86" s="478" t="s">
        <v>753</v>
      </c>
      <c r="C86" s="480">
        <f>SUM(C74:C85)</f>
        <v>35000</v>
      </c>
    </row>
    <row r="90" spans="1:9" ht="12.75" customHeight="1" x14ac:dyDescent="0.2">
      <c r="A90" s="784" t="s">
        <v>758</v>
      </c>
      <c r="B90" s="784"/>
      <c r="C90" s="784"/>
      <c r="D90" s="784"/>
      <c r="E90" s="46"/>
      <c r="F90" s="46"/>
      <c r="G90" s="46"/>
      <c r="H90" s="46"/>
      <c r="I90" s="46"/>
    </row>
    <row r="91" spans="1:9" x14ac:dyDescent="0.2">
      <c r="A91" s="784"/>
      <c r="B91" s="784"/>
      <c r="C91" s="784"/>
      <c r="D91" s="784"/>
      <c r="E91" s="46"/>
      <c r="F91" s="46"/>
      <c r="G91" s="46"/>
      <c r="H91" s="46"/>
      <c r="I91" s="46"/>
    </row>
    <row r="92" spans="1:9" x14ac:dyDescent="0.2">
      <c r="C92" s="451"/>
    </row>
    <row r="93" spans="1:9" x14ac:dyDescent="0.2">
      <c r="A93" s="477" t="s">
        <v>717</v>
      </c>
      <c r="B93" s="477" t="s">
        <v>755</v>
      </c>
      <c r="C93" s="476" t="s">
        <v>706</v>
      </c>
    </row>
    <row r="94" spans="1:9" x14ac:dyDescent="0.2">
      <c r="A94" s="490">
        <v>56305</v>
      </c>
      <c r="B94" s="478" t="s">
        <v>756</v>
      </c>
      <c r="C94" s="479">
        <v>16000</v>
      </c>
    </row>
    <row r="95" spans="1:9" x14ac:dyDescent="0.2">
      <c r="A95" s="477">
        <v>54304</v>
      </c>
      <c r="B95" s="478" t="s">
        <v>757</v>
      </c>
      <c r="C95" s="479">
        <v>3990</v>
      </c>
    </row>
    <row r="96" spans="1:9" x14ac:dyDescent="0.2">
      <c r="A96" s="477">
        <v>55603</v>
      </c>
      <c r="B96" s="478" t="s">
        <v>710</v>
      </c>
      <c r="C96" s="479">
        <v>10</v>
      </c>
    </row>
    <row r="97" spans="1:12" ht="15" x14ac:dyDescent="0.25">
      <c r="A97" s="478"/>
      <c r="B97" s="478" t="s">
        <v>753</v>
      </c>
      <c r="C97" s="480">
        <f>SUM(C94:C96)</f>
        <v>20000</v>
      </c>
    </row>
    <row r="101" spans="1:12" ht="12.75" customHeight="1" x14ac:dyDescent="0.2">
      <c r="A101" s="784" t="s">
        <v>801</v>
      </c>
      <c r="B101" s="784"/>
      <c r="C101" s="784"/>
      <c r="D101" s="784"/>
      <c r="E101" s="537"/>
      <c r="F101" s="537"/>
      <c r="G101" s="537"/>
      <c r="H101" s="537"/>
      <c r="I101" s="537"/>
      <c r="J101" s="537"/>
      <c r="K101" s="537"/>
      <c r="L101" s="537"/>
    </row>
    <row r="102" spans="1:12" x14ac:dyDescent="0.2">
      <c r="A102" s="784"/>
      <c r="B102" s="784"/>
      <c r="C102" s="784"/>
      <c r="D102" s="784"/>
      <c r="E102" s="537"/>
      <c r="F102" s="537"/>
      <c r="G102" s="537"/>
      <c r="H102" s="537"/>
      <c r="I102" s="537"/>
      <c r="J102" s="537"/>
      <c r="K102" s="537"/>
      <c r="L102" s="537"/>
    </row>
    <row r="103" spans="1:12" x14ac:dyDescent="0.2">
      <c r="C103" s="451"/>
    </row>
    <row r="104" spans="1:12" x14ac:dyDescent="0.2">
      <c r="A104" t="s">
        <v>759</v>
      </c>
      <c r="C104" s="451"/>
    </row>
    <row r="105" spans="1:12" x14ac:dyDescent="0.2">
      <c r="A105" s="477" t="s">
        <v>717</v>
      </c>
      <c r="B105" s="477" t="s">
        <v>755</v>
      </c>
      <c r="C105" s="476" t="s">
        <v>706</v>
      </c>
    </row>
    <row r="106" spans="1:12" x14ac:dyDescent="0.2">
      <c r="A106" s="478">
        <v>54199</v>
      </c>
      <c r="B106" s="478" t="s">
        <v>760</v>
      </c>
      <c r="C106" s="479">
        <v>9925</v>
      </c>
    </row>
    <row r="107" spans="1:12" x14ac:dyDescent="0.2">
      <c r="A107" s="478">
        <v>54399</v>
      </c>
      <c r="B107" s="478" t="s">
        <v>761</v>
      </c>
      <c r="C107" s="479">
        <v>5050</v>
      </c>
    </row>
    <row r="108" spans="1:12" x14ac:dyDescent="0.2">
      <c r="A108" s="478">
        <v>55603</v>
      </c>
      <c r="B108" s="478" t="s">
        <v>710</v>
      </c>
      <c r="C108" s="479">
        <v>25</v>
      </c>
    </row>
    <row r="109" spans="1:12" ht="15" x14ac:dyDescent="0.25">
      <c r="A109" s="478"/>
      <c r="B109" s="478" t="s">
        <v>753</v>
      </c>
      <c r="C109" s="480">
        <f>SUM(C106:C108)</f>
        <v>15000</v>
      </c>
    </row>
    <row r="112" spans="1:12" ht="12.75" customHeight="1" x14ac:dyDescent="0.2">
      <c r="A112" s="784" t="s">
        <v>802</v>
      </c>
      <c r="B112" s="784"/>
      <c r="C112" s="784"/>
      <c r="D112" s="784"/>
      <c r="E112" s="537"/>
      <c r="F112" s="537"/>
      <c r="G112" s="537"/>
      <c r="H112" s="537"/>
      <c r="I112" s="537"/>
      <c r="J112" s="537"/>
      <c r="K112" s="537"/>
      <c r="L112" s="537"/>
    </row>
    <row r="113" spans="1:12" x14ac:dyDescent="0.2">
      <c r="A113" s="784"/>
      <c r="B113" s="784"/>
      <c r="C113" s="784"/>
      <c r="D113" s="784"/>
      <c r="E113" s="537"/>
      <c r="F113" s="537"/>
      <c r="G113" s="537"/>
      <c r="H113" s="537"/>
      <c r="I113" s="537"/>
      <c r="J113" s="537"/>
      <c r="K113" s="537"/>
      <c r="L113" s="537"/>
    </row>
    <row r="114" spans="1:12" x14ac:dyDescent="0.2">
      <c r="A114" t="s">
        <v>762</v>
      </c>
      <c r="C114" s="451"/>
    </row>
    <row r="115" spans="1:12" x14ac:dyDescent="0.2">
      <c r="C115" s="451"/>
    </row>
    <row r="116" spans="1:12" x14ac:dyDescent="0.2">
      <c r="A116" s="477" t="s">
        <v>717</v>
      </c>
      <c r="B116" s="477" t="s">
        <v>705</v>
      </c>
      <c r="C116" s="476" t="s">
        <v>706</v>
      </c>
    </row>
    <row r="117" spans="1:12" x14ac:dyDescent="0.2">
      <c r="A117" s="477">
        <v>54101</v>
      </c>
      <c r="B117" s="478" t="s">
        <v>763</v>
      </c>
      <c r="C117" s="479">
        <v>44975</v>
      </c>
    </row>
    <row r="118" spans="1:12" x14ac:dyDescent="0.2">
      <c r="A118" s="477">
        <v>55603</v>
      </c>
      <c r="B118" s="478" t="s">
        <v>710</v>
      </c>
      <c r="C118" s="479">
        <v>25</v>
      </c>
    </row>
    <row r="119" spans="1:12" ht="15" x14ac:dyDescent="0.25">
      <c r="A119" s="478"/>
      <c r="B119" s="478" t="s">
        <v>753</v>
      </c>
      <c r="C119" s="480">
        <f>SUM(C117:C118)</f>
        <v>45000</v>
      </c>
    </row>
    <row r="122" spans="1:12" ht="12.75" customHeight="1" x14ac:dyDescent="0.2">
      <c r="A122" s="784" t="s">
        <v>882</v>
      </c>
      <c r="B122" s="784"/>
      <c r="C122" s="784"/>
      <c r="D122" s="784"/>
      <c r="E122" s="537"/>
      <c r="F122" s="537"/>
      <c r="G122" s="537"/>
      <c r="H122" s="537"/>
      <c r="I122" s="537"/>
      <c r="J122" s="537"/>
      <c r="K122" s="537"/>
      <c r="L122" s="537"/>
    </row>
    <row r="123" spans="1:12" ht="22.5" customHeight="1" x14ac:dyDescent="0.2">
      <c r="A123" s="784"/>
      <c r="B123" s="784"/>
      <c r="C123" s="784"/>
      <c r="D123" s="784"/>
      <c r="E123" s="537"/>
      <c r="F123" s="537"/>
      <c r="G123" s="537"/>
      <c r="H123" s="537"/>
      <c r="I123" s="537"/>
      <c r="J123" s="537"/>
      <c r="K123" s="537"/>
      <c r="L123" s="537"/>
    </row>
    <row r="124" spans="1:12" x14ac:dyDescent="0.2">
      <c r="A124" t="s">
        <v>764</v>
      </c>
      <c r="C124" s="451"/>
    </row>
    <row r="125" spans="1:12" x14ac:dyDescent="0.2">
      <c r="C125" s="451"/>
    </row>
    <row r="126" spans="1:12" x14ac:dyDescent="0.2">
      <c r="A126" s="477" t="s">
        <v>717</v>
      </c>
      <c r="B126" s="477" t="s">
        <v>705</v>
      </c>
      <c r="C126" s="476" t="s">
        <v>706</v>
      </c>
    </row>
    <row r="127" spans="1:12" x14ac:dyDescent="0.2">
      <c r="A127" s="477">
        <v>54112</v>
      </c>
      <c r="B127" s="478" t="s">
        <v>765</v>
      </c>
      <c r="C127" s="479">
        <v>13125</v>
      </c>
    </row>
    <row r="128" spans="1:12" x14ac:dyDescent="0.2">
      <c r="A128" s="477">
        <v>54107</v>
      </c>
      <c r="B128" s="478" t="s">
        <v>748</v>
      </c>
      <c r="C128" s="479">
        <v>1865</v>
      </c>
    </row>
    <row r="129" spans="1:12" x14ac:dyDescent="0.2">
      <c r="A129" s="477">
        <v>55603</v>
      </c>
      <c r="B129" s="478" t="s">
        <v>728</v>
      </c>
      <c r="C129" s="479">
        <v>10</v>
      </c>
    </row>
    <row r="130" spans="1:12" ht="15" x14ac:dyDescent="0.25">
      <c r="A130" s="478"/>
      <c r="B130" s="478" t="s">
        <v>253</v>
      </c>
      <c r="C130" s="480">
        <f>SUM(C127:C129)</f>
        <v>15000</v>
      </c>
    </row>
    <row r="134" spans="1:12" ht="12.75" customHeight="1" x14ac:dyDescent="0.2">
      <c r="A134" s="784" t="s">
        <v>883</v>
      </c>
      <c r="B134" s="784"/>
      <c r="C134" s="784"/>
      <c r="D134" s="784"/>
      <c r="E134" s="537"/>
      <c r="F134" s="537"/>
      <c r="G134" s="537"/>
      <c r="H134" s="537"/>
      <c r="I134" s="537"/>
      <c r="J134" s="537"/>
      <c r="K134" s="537"/>
      <c r="L134" s="537"/>
    </row>
    <row r="135" spans="1:12" ht="26.25" customHeight="1" x14ac:dyDescent="0.2">
      <c r="A135" s="784"/>
      <c r="B135" s="784"/>
      <c r="C135" s="784"/>
      <c r="D135" s="784"/>
      <c r="E135" s="537"/>
      <c r="F135" s="537"/>
      <c r="G135" s="537"/>
      <c r="H135" s="537"/>
      <c r="I135" s="537"/>
      <c r="J135" s="537"/>
      <c r="K135" s="537"/>
      <c r="L135" s="537"/>
    </row>
    <row r="136" spans="1:12" x14ac:dyDescent="0.2">
      <c r="A136" t="s">
        <v>766</v>
      </c>
      <c r="C136" s="451"/>
    </row>
    <row r="137" spans="1:12" x14ac:dyDescent="0.2">
      <c r="C137" s="451"/>
    </row>
    <row r="138" spans="1:12" x14ac:dyDescent="0.2">
      <c r="A138" s="477" t="s">
        <v>717</v>
      </c>
      <c r="B138" s="477" t="s">
        <v>755</v>
      </c>
      <c r="C138" s="476" t="s">
        <v>706</v>
      </c>
    </row>
    <row r="139" spans="1:12" x14ac:dyDescent="0.2">
      <c r="A139" s="477">
        <v>54314</v>
      </c>
      <c r="B139" s="478" t="s">
        <v>767</v>
      </c>
      <c r="C139" s="479">
        <v>2400</v>
      </c>
    </row>
    <row r="140" spans="1:12" x14ac:dyDescent="0.2">
      <c r="A140" s="477">
        <v>54304</v>
      </c>
      <c r="B140" s="478" t="s">
        <v>768</v>
      </c>
      <c r="C140" s="479">
        <v>1100</v>
      </c>
    </row>
    <row r="141" spans="1:12" x14ac:dyDescent="0.2">
      <c r="A141" s="477">
        <v>54110</v>
      </c>
      <c r="B141" s="478" t="s">
        <v>769</v>
      </c>
      <c r="C141" s="479">
        <v>300</v>
      </c>
    </row>
    <row r="142" spans="1:12" x14ac:dyDescent="0.2">
      <c r="A142" s="477">
        <v>54305</v>
      </c>
      <c r="B142" s="478" t="s">
        <v>770</v>
      </c>
      <c r="C142" s="479">
        <v>590</v>
      </c>
    </row>
    <row r="143" spans="1:12" x14ac:dyDescent="0.2">
      <c r="A143" s="477">
        <v>55603</v>
      </c>
      <c r="B143" s="478" t="s">
        <v>771</v>
      </c>
      <c r="C143" s="479">
        <v>10</v>
      </c>
    </row>
    <row r="144" spans="1:12" x14ac:dyDescent="0.2">
      <c r="A144" s="477">
        <v>54399</v>
      </c>
      <c r="B144" s="478" t="s">
        <v>772</v>
      </c>
      <c r="C144" s="479">
        <v>600</v>
      </c>
    </row>
    <row r="145" spans="1:12" ht="15" x14ac:dyDescent="0.25">
      <c r="A145" s="478"/>
      <c r="B145" s="478" t="s">
        <v>753</v>
      </c>
      <c r="C145" s="480">
        <f>SUM(C139:C144)</f>
        <v>5000</v>
      </c>
    </row>
    <row r="149" spans="1:12" ht="12.75" customHeight="1" x14ac:dyDescent="0.2">
      <c r="A149" s="784" t="s">
        <v>670</v>
      </c>
      <c r="B149" s="784"/>
      <c r="C149" s="784"/>
      <c r="D149" s="784"/>
      <c r="E149" s="537"/>
      <c r="F149" s="537"/>
      <c r="G149" s="537"/>
      <c r="H149" s="537"/>
      <c r="I149" s="537"/>
      <c r="J149" s="537"/>
      <c r="K149" s="537"/>
      <c r="L149" s="537"/>
    </row>
    <row r="150" spans="1:12" x14ac:dyDescent="0.2">
      <c r="A150" s="784"/>
      <c r="B150" s="784"/>
      <c r="C150" s="784"/>
      <c r="D150" s="784"/>
      <c r="E150" s="537"/>
      <c r="F150" s="537"/>
      <c r="G150" s="537"/>
      <c r="H150" s="537"/>
      <c r="I150" s="537"/>
      <c r="J150" s="537"/>
      <c r="K150" s="537"/>
      <c r="L150" s="537"/>
    </row>
    <row r="151" spans="1:12" x14ac:dyDescent="0.2">
      <c r="A151" t="s">
        <v>773</v>
      </c>
      <c r="C151" s="451"/>
    </row>
    <row r="152" spans="1:12" x14ac:dyDescent="0.2">
      <c r="C152" s="451"/>
    </row>
    <row r="153" spans="1:12" x14ac:dyDescent="0.2">
      <c r="A153" s="477" t="s">
        <v>717</v>
      </c>
      <c r="B153" s="477" t="s">
        <v>755</v>
      </c>
      <c r="C153" s="476" t="s">
        <v>706</v>
      </c>
    </row>
    <row r="154" spans="1:12" x14ac:dyDescent="0.2">
      <c r="A154" s="477">
        <v>54314</v>
      </c>
      <c r="B154" s="478" t="s">
        <v>767</v>
      </c>
      <c r="C154" s="479">
        <v>1510</v>
      </c>
    </row>
    <row r="155" spans="1:12" x14ac:dyDescent="0.2">
      <c r="A155" s="477">
        <v>54399</v>
      </c>
      <c r="B155" s="478" t="s">
        <v>761</v>
      </c>
      <c r="C155" s="479">
        <v>1250</v>
      </c>
    </row>
    <row r="156" spans="1:12" x14ac:dyDescent="0.2">
      <c r="A156" s="477">
        <v>54304</v>
      </c>
      <c r="B156" s="478" t="s">
        <v>774</v>
      </c>
      <c r="C156" s="479">
        <v>750</v>
      </c>
    </row>
    <row r="157" spans="1:12" x14ac:dyDescent="0.2">
      <c r="A157" s="477">
        <v>54305</v>
      </c>
      <c r="B157" s="478" t="s">
        <v>737</v>
      </c>
      <c r="C157" s="479">
        <v>980</v>
      </c>
    </row>
    <row r="158" spans="1:12" x14ac:dyDescent="0.2">
      <c r="A158" s="477">
        <v>61199</v>
      </c>
      <c r="B158" s="478" t="s">
        <v>775</v>
      </c>
      <c r="C158" s="479">
        <v>500</v>
      </c>
    </row>
    <row r="159" spans="1:12" x14ac:dyDescent="0.2">
      <c r="A159" s="477">
        <v>55603</v>
      </c>
      <c r="B159" s="478" t="s">
        <v>728</v>
      </c>
      <c r="C159" s="479">
        <v>10</v>
      </c>
    </row>
    <row r="160" spans="1:12" ht="15" x14ac:dyDescent="0.25">
      <c r="A160" s="478"/>
      <c r="B160" s="478" t="s">
        <v>253</v>
      </c>
      <c r="C160" s="480">
        <f>SUM(C154:C159)</f>
        <v>5000</v>
      </c>
    </row>
    <row r="164" spans="1:12" ht="12.75" customHeight="1" x14ac:dyDescent="0.2">
      <c r="A164" s="784" t="s">
        <v>884</v>
      </c>
      <c r="B164" s="784"/>
      <c r="C164" s="784"/>
      <c r="D164" s="784"/>
      <c r="E164" s="537"/>
      <c r="F164" s="537"/>
      <c r="G164" s="537"/>
      <c r="H164" s="537"/>
      <c r="I164" s="537"/>
      <c r="J164" s="537"/>
      <c r="K164" s="537"/>
      <c r="L164" s="537"/>
    </row>
    <row r="165" spans="1:12" x14ac:dyDescent="0.2">
      <c r="A165" s="784"/>
      <c r="B165" s="784"/>
      <c r="C165" s="784"/>
      <c r="D165" s="784"/>
      <c r="E165" s="537"/>
      <c r="F165" s="537"/>
      <c r="G165" s="537"/>
      <c r="H165" s="537"/>
      <c r="I165" s="537"/>
      <c r="J165" s="537"/>
      <c r="K165" s="537"/>
      <c r="L165" s="537"/>
    </row>
    <row r="166" spans="1:12" x14ac:dyDescent="0.2">
      <c r="A166" s="784"/>
      <c r="B166" s="784"/>
      <c r="C166" s="784"/>
      <c r="D166" s="784"/>
    </row>
    <row r="167" spans="1:12" x14ac:dyDescent="0.2">
      <c r="A167" t="s">
        <v>776</v>
      </c>
      <c r="C167" s="451"/>
    </row>
    <row r="168" spans="1:12" x14ac:dyDescent="0.2">
      <c r="C168" s="451"/>
    </row>
    <row r="169" spans="1:12" x14ac:dyDescent="0.2">
      <c r="A169" s="477" t="s">
        <v>717</v>
      </c>
      <c r="B169" s="477" t="s">
        <v>755</v>
      </c>
      <c r="C169" s="476" t="s">
        <v>706</v>
      </c>
    </row>
    <row r="170" spans="1:12" x14ac:dyDescent="0.2">
      <c r="A170" s="477">
        <v>56303</v>
      </c>
      <c r="B170" s="478" t="s">
        <v>777</v>
      </c>
      <c r="C170" s="479">
        <v>2000</v>
      </c>
    </row>
    <row r="171" spans="1:12" x14ac:dyDescent="0.2">
      <c r="A171" s="477">
        <v>54111</v>
      </c>
      <c r="B171" s="478" t="s">
        <v>778</v>
      </c>
      <c r="C171" s="479">
        <v>1000</v>
      </c>
    </row>
    <row r="172" spans="1:12" x14ac:dyDescent="0.2">
      <c r="A172" s="477">
        <v>54112</v>
      </c>
      <c r="B172" s="478" t="s">
        <v>779</v>
      </c>
      <c r="C172" s="479">
        <v>990</v>
      </c>
    </row>
    <row r="173" spans="1:12" x14ac:dyDescent="0.2">
      <c r="A173" s="477">
        <v>54119</v>
      </c>
      <c r="B173" s="478" t="s">
        <v>707</v>
      </c>
      <c r="C173" s="479">
        <v>1000</v>
      </c>
    </row>
    <row r="174" spans="1:12" x14ac:dyDescent="0.2">
      <c r="A174" s="477">
        <v>55603</v>
      </c>
      <c r="B174" s="478" t="s">
        <v>728</v>
      </c>
      <c r="C174" s="479">
        <v>10</v>
      </c>
    </row>
    <row r="175" spans="1:12" ht="15" x14ac:dyDescent="0.25">
      <c r="A175" s="478"/>
      <c r="B175" s="478" t="s">
        <v>753</v>
      </c>
      <c r="C175" s="480">
        <f>SUM(C170:C174)</f>
        <v>5000</v>
      </c>
    </row>
    <row r="176" spans="1:12" x14ac:dyDescent="0.2">
      <c r="C176" s="451"/>
    </row>
    <row r="179" spans="1:12" x14ac:dyDescent="0.2">
      <c r="A179" s="786" t="s">
        <v>687</v>
      </c>
      <c r="B179" s="786"/>
      <c r="C179" s="786"/>
      <c r="D179" s="786"/>
      <c r="E179" s="786"/>
      <c r="F179" s="786"/>
      <c r="G179" s="786"/>
      <c r="H179" s="786"/>
      <c r="I179" s="786"/>
      <c r="J179" s="786"/>
      <c r="K179" s="786"/>
      <c r="L179" s="786"/>
    </row>
    <row r="180" spans="1:12" x14ac:dyDescent="0.2">
      <c r="A180" s="786"/>
      <c r="B180" s="786"/>
      <c r="C180" s="786"/>
      <c r="D180" s="786"/>
      <c r="E180" s="786"/>
      <c r="F180" s="786"/>
      <c r="G180" s="786"/>
      <c r="H180" s="786"/>
      <c r="I180" s="786"/>
      <c r="J180" s="786"/>
      <c r="K180" s="786"/>
      <c r="L180" s="786"/>
    </row>
    <row r="181" spans="1:12" x14ac:dyDescent="0.2">
      <c r="C181" s="451"/>
    </row>
    <row r="182" spans="1:12" x14ac:dyDescent="0.2">
      <c r="A182" t="s">
        <v>780</v>
      </c>
      <c r="C182" s="451"/>
    </row>
    <row r="183" spans="1:12" x14ac:dyDescent="0.2">
      <c r="C183" s="451"/>
    </row>
    <row r="184" spans="1:12" x14ac:dyDescent="0.2">
      <c r="A184" s="477" t="s">
        <v>717</v>
      </c>
      <c r="B184" s="477" t="s">
        <v>755</v>
      </c>
      <c r="C184" s="476" t="s">
        <v>706</v>
      </c>
    </row>
    <row r="185" spans="1:12" x14ac:dyDescent="0.2">
      <c r="A185" s="477">
        <v>54199</v>
      </c>
      <c r="B185" s="478" t="s">
        <v>726</v>
      </c>
      <c r="C185" s="479">
        <v>1800</v>
      </c>
    </row>
    <row r="186" spans="1:12" x14ac:dyDescent="0.2">
      <c r="A186" s="477">
        <v>54314</v>
      </c>
      <c r="B186" s="478" t="s">
        <v>781</v>
      </c>
      <c r="C186" s="479">
        <v>27690</v>
      </c>
    </row>
    <row r="187" spans="1:12" x14ac:dyDescent="0.2">
      <c r="A187" s="477">
        <v>54399</v>
      </c>
      <c r="B187" s="478" t="s">
        <v>761</v>
      </c>
      <c r="C187" s="479">
        <v>4500</v>
      </c>
    </row>
    <row r="188" spans="1:12" x14ac:dyDescent="0.2">
      <c r="A188" s="477">
        <v>54304</v>
      </c>
      <c r="B188" s="478" t="s">
        <v>768</v>
      </c>
      <c r="C188" s="479">
        <v>1000</v>
      </c>
    </row>
    <row r="189" spans="1:12" x14ac:dyDescent="0.2">
      <c r="A189" s="477">
        <v>55603</v>
      </c>
      <c r="B189" s="478" t="s">
        <v>728</v>
      </c>
      <c r="C189" s="479">
        <v>10</v>
      </c>
    </row>
    <row r="190" spans="1:12" ht="15" x14ac:dyDescent="0.25">
      <c r="A190" s="477"/>
      <c r="B190" s="478" t="s">
        <v>253</v>
      </c>
      <c r="C190" s="480">
        <f>SUM(C185:C189)</f>
        <v>35000</v>
      </c>
    </row>
    <row r="194" spans="1:12" ht="12.75" customHeight="1" x14ac:dyDescent="0.2">
      <c r="A194" s="784" t="s">
        <v>885</v>
      </c>
      <c r="B194" s="784"/>
      <c r="C194" s="784"/>
      <c r="D194" s="784"/>
      <c r="E194" s="537"/>
      <c r="F194" s="537"/>
      <c r="G194" s="537"/>
      <c r="H194" s="537"/>
      <c r="I194" s="537"/>
      <c r="J194" s="537"/>
      <c r="K194" s="537"/>
      <c r="L194" s="537"/>
    </row>
    <row r="195" spans="1:12" x14ac:dyDescent="0.2">
      <c r="A195" s="784"/>
      <c r="B195" s="784"/>
      <c r="C195" s="784"/>
      <c r="D195" s="784"/>
      <c r="E195" s="537"/>
      <c r="F195" s="537"/>
      <c r="G195" s="537"/>
      <c r="H195" s="537"/>
      <c r="I195" s="537"/>
      <c r="J195" s="537"/>
      <c r="K195" s="537"/>
      <c r="L195" s="537"/>
    </row>
    <row r="196" spans="1:12" x14ac:dyDescent="0.2">
      <c r="C196" s="451"/>
    </row>
    <row r="197" spans="1:12" x14ac:dyDescent="0.2">
      <c r="A197" t="s">
        <v>782</v>
      </c>
      <c r="C197" s="451"/>
    </row>
    <row r="198" spans="1:12" x14ac:dyDescent="0.2">
      <c r="C198" s="451"/>
    </row>
    <row r="199" spans="1:12" x14ac:dyDescent="0.2">
      <c r="A199" s="477" t="s">
        <v>717</v>
      </c>
      <c r="B199" s="477" t="s">
        <v>755</v>
      </c>
      <c r="C199" s="476" t="s">
        <v>706</v>
      </c>
    </row>
    <row r="200" spans="1:12" x14ac:dyDescent="0.2">
      <c r="A200" s="477">
        <v>51999</v>
      </c>
      <c r="B200" s="478" t="s">
        <v>738</v>
      </c>
      <c r="C200" s="479">
        <v>7000</v>
      </c>
    </row>
    <row r="201" spans="1:12" x14ac:dyDescent="0.2">
      <c r="A201" s="477">
        <v>54104</v>
      </c>
      <c r="B201" s="478" t="s">
        <v>783</v>
      </c>
      <c r="C201" s="479">
        <v>4800</v>
      </c>
    </row>
    <row r="202" spans="1:12" x14ac:dyDescent="0.2">
      <c r="A202" s="477">
        <v>61999</v>
      </c>
      <c r="B202" s="478" t="s">
        <v>775</v>
      </c>
      <c r="C202" s="479">
        <v>3190</v>
      </c>
    </row>
    <row r="203" spans="1:12" x14ac:dyDescent="0.2">
      <c r="A203" s="477">
        <v>55603</v>
      </c>
      <c r="B203" s="478" t="s">
        <v>728</v>
      </c>
      <c r="C203" s="479">
        <v>10</v>
      </c>
    </row>
    <row r="204" spans="1:12" ht="15" x14ac:dyDescent="0.25">
      <c r="A204" s="478"/>
      <c r="B204" s="478" t="s">
        <v>753</v>
      </c>
      <c r="C204" s="480">
        <f>SUM(C200:C203)</f>
        <v>15000</v>
      </c>
    </row>
    <row r="206" spans="1:12" ht="26.25" customHeight="1" x14ac:dyDescent="0.2">
      <c r="A206" s="785" t="s">
        <v>784</v>
      </c>
      <c r="B206" s="785"/>
      <c r="C206" s="785"/>
      <c r="D206" s="785"/>
    </row>
    <row r="207" spans="1:12" x14ac:dyDescent="0.2">
      <c r="A207">
        <v>14</v>
      </c>
    </row>
    <row r="208" spans="1:12" x14ac:dyDescent="0.2">
      <c r="A208" s="473" t="s">
        <v>717</v>
      </c>
      <c r="B208" s="473" t="s">
        <v>755</v>
      </c>
      <c r="C208" s="474" t="s">
        <v>706</v>
      </c>
    </row>
    <row r="209" spans="1:3" x14ac:dyDescent="0.2">
      <c r="A209" s="477">
        <v>54314</v>
      </c>
      <c r="B209" s="478" t="s">
        <v>781</v>
      </c>
      <c r="C209" s="479">
        <v>4000</v>
      </c>
    </row>
    <row r="210" spans="1:3" x14ac:dyDescent="0.2">
      <c r="A210" s="477">
        <v>54399</v>
      </c>
      <c r="B210" s="478" t="s">
        <v>785</v>
      </c>
      <c r="C210" s="479">
        <v>4800</v>
      </c>
    </row>
    <row r="211" spans="1:3" x14ac:dyDescent="0.2">
      <c r="A211" s="477">
        <v>54199</v>
      </c>
      <c r="B211" s="478" t="s">
        <v>741</v>
      </c>
      <c r="C211" s="479">
        <v>3190</v>
      </c>
    </row>
    <row r="212" spans="1:3" x14ac:dyDescent="0.2">
      <c r="A212" s="477">
        <v>55603</v>
      </c>
      <c r="B212" s="478" t="s">
        <v>728</v>
      </c>
      <c r="C212" s="479">
        <v>10</v>
      </c>
    </row>
    <row r="213" spans="1:3" ht="15" x14ac:dyDescent="0.25">
      <c r="A213" s="478"/>
      <c r="B213" s="478" t="s">
        <v>753</v>
      </c>
      <c r="C213" s="480">
        <f>SUM(C209:C212)</f>
        <v>12000</v>
      </c>
    </row>
    <row r="216" spans="1:3" x14ac:dyDescent="0.2">
      <c r="A216" t="s">
        <v>787</v>
      </c>
    </row>
    <row r="217" spans="1:3" x14ac:dyDescent="0.2">
      <c r="A217" t="s">
        <v>786</v>
      </c>
    </row>
    <row r="218" spans="1:3" x14ac:dyDescent="0.2">
      <c r="A218" s="473" t="s">
        <v>717</v>
      </c>
      <c r="B218" s="473" t="s">
        <v>755</v>
      </c>
      <c r="C218" s="474" t="s">
        <v>706</v>
      </c>
    </row>
    <row r="219" spans="1:3" x14ac:dyDescent="0.2">
      <c r="A219" s="477">
        <v>54110</v>
      </c>
      <c r="B219" s="478" t="s">
        <v>750</v>
      </c>
      <c r="C219" s="479">
        <v>10000</v>
      </c>
    </row>
    <row r="220" spans="1:3" x14ac:dyDescent="0.2">
      <c r="A220" s="477">
        <v>54111</v>
      </c>
      <c r="B220" s="478" t="s">
        <v>788</v>
      </c>
      <c r="C220" s="479">
        <v>4800</v>
      </c>
    </row>
    <row r="221" spans="1:3" x14ac:dyDescent="0.2">
      <c r="A221" s="477">
        <v>51202</v>
      </c>
      <c r="B221" s="478" t="s">
        <v>729</v>
      </c>
      <c r="C221" s="479">
        <v>10000</v>
      </c>
    </row>
    <row r="222" spans="1:3" x14ac:dyDescent="0.2">
      <c r="A222" s="477">
        <v>54107</v>
      </c>
      <c r="B222" s="478" t="s">
        <v>789</v>
      </c>
      <c r="C222" s="479">
        <v>6000</v>
      </c>
    </row>
    <row r="223" spans="1:3" x14ac:dyDescent="0.2">
      <c r="A223" s="477">
        <v>54118</v>
      </c>
      <c r="B223" s="478" t="s">
        <v>790</v>
      </c>
      <c r="C223" s="479">
        <v>8800</v>
      </c>
    </row>
    <row r="224" spans="1:3" x14ac:dyDescent="0.2">
      <c r="A224" s="477">
        <v>54109</v>
      </c>
      <c r="B224" s="478" t="s">
        <v>791</v>
      </c>
      <c r="C224" s="479">
        <v>15000</v>
      </c>
    </row>
    <row r="225" spans="1:3" x14ac:dyDescent="0.2">
      <c r="A225" s="477">
        <v>54399</v>
      </c>
      <c r="B225" s="478" t="s">
        <v>792</v>
      </c>
      <c r="C225" s="479">
        <v>5390</v>
      </c>
    </row>
    <row r="226" spans="1:3" x14ac:dyDescent="0.2">
      <c r="A226" s="477">
        <v>55603</v>
      </c>
      <c r="B226" s="478" t="s">
        <v>728</v>
      </c>
      <c r="C226" s="479">
        <v>10</v>
      </c>
    </row>
    <row r="227" spans="1:3" ht="15" x14ac:dyDescent="0.25">
      <c r="A227" s="478"/>
      <c r="B227" s="478" t="s">
        <v>753</v>
      </c>
      <c r="C227" s="480">
        <f>SUM(C219:C226)</f>
        <v>60000</v>
      </c>
    </row>
    <row r="230" spans="1:3" x14ac:dyDescent="0.2">
      <c r="A230" t="s">
        <v>794</v>
      </c>
    </row>
    <row r="231" spans="1:3" x14ac:dyDescent="0.2">
      <c r="A231" t="s">
        <v>793</v>
      </c>
    </row>
    <row r="232" spans="1:3" x14ac:dyDescent="0.2">
      <c r="A232" s="473" t="s">
        <v>717</v>
      </c>
      <c r="B232" s="473" t="s">
        <v>755</v>
      </c>
      <c r="C232" s="474" t="s">
        <v>706</v>
      </c>
    </row>
    <row r="233" spans="1:3" x14ac:dyDescent="0.2">
      <c r="A233" s="477">
        <v>54118</v>
      </c>
      <c r="B233" s="478" t="s">
        <v>709</v>
      </c>
      <c r="C233" s="479">
        <v>4500</v>
      </c>
    </row>
    <row r="234" spans="1:3" x14ac:dyDescent="0.2">
      <c r="A234" s="477">
        <v>54112</v>
      </c>
      <c r="B234" s="478" t="s">
        <v>785</v>
      </c>
      <c r="C234" s="479">
        <v>4800</v>
      </c>
    </row>
    <row r="235" spans="1:3" x14ac:dyDescent="0.2">
      <c r="A235" s="477">
        <v>54199</v>
      </c>
      <c r="B235" s="478" t="s">
        <v>741</v>
      </c>
      <c r="C235" s="479">
        <v>3190</v>
      </c>
    </row>
    <row r="236" spans="1:3" x14ac:dyDescent="0.2">
      <c r="A236" s="477">
        <v>55603</v>
      </c>
      <c r="B236" s="478" t="s">
        <v>728</v>
      </c>
      <c r="C236" s="479">
        <v>10</v>
      </c>
    </row>
    <row r="237" spans="1:3" ht="15" x14ac:dyDescent="0.25">
      <c r="A237" s="478"/>
      <c r="B237" s="478" t="s">
        <v>753</v>
      </c>
      <c r="C237" s="480">
        <f>SUM(C233:C236)</f>
        <v>12500</v>
      </c>
    </row>
    <row r="240" spans="1:3" x14ac:dyDescent="0.2">
      <c r="A240" t="s">
        <v>676</v>
      </c>
    </row>
    <row r="241" spans="1:3" x14ac:dyDescent="0.2">
      <c r="A241" t="s">
        <v>795</v>
      </c>
    </row>
    <row r="242" spans="1:3" x14ac:dyDescent="0.2">
      <c r="A242" s="473" t="s">
        <v>717</v>
      </c>
      <c r="B242" s="473" t="s">
        <v>755</v>
      </c>
      <c r="C242" s="474" t="s">
        <v>706</v>
      </c>
    </row>
    <row r="243" spans="1:3" x14ac:dyDescent="0.2">
      <c r="A243" s="477">
        <v>54314</v>
      </c>
      <c r="B243" s="478" t="s">
        <v>781</v>
      </c>
      <c r="C243" s="479">
        <v>8500</v>
      </c>
    </row>
    <row r="244" spans="1:3" x14ac:dyDescent="0.2">
      <c r="A244" s="477">
        <v>54399</v>
      </c>
      <c r="B244" s="478" t="s">
        <v>785</v>
      </c>
      <c r="C244" s="479">
        <v>5590</v>
      </c>
    </row>
    <row r="245" spans="1:3" x14ac:dyDescent="0.2">
      <c r="A245" s="477">
        <v>54199</v>
      </c>
      <c r="B245" s="478" t="s">
        <v>741</v>
      </c>
      <c r="C245" s="479">
        <v>5900</v>
      </c>
    </row>
    <row r="246" spans="1:3" x14ac:dyDescent="0.2">
      <c r="A246" s="477">
        <v>55603</v>
      </c>
      <c r="B246" s="478" t="s">
        <v>728</v>
      </c>
      <c r="C246" s="479">
        <v>10</v>
      </c>
    </row>
    <row r="247" spans="1:3" ht="15" x14ac:dyDescent="0.25">
      <c r="A247" s="478"/>
      <c r="B247" s="478" t="s">
        <v>753</v>
      </c>
      <c r="C247" s="480">
        <f>SUM(C243:C246)</f>
        <v>20000</v>
      </c>
    </row>
    <row r="250" spans="1:3" x14ac:dyDescent="0.2">
      <c r="A250" t="s">
        <v>797</v>
      </c>
    </row>
    <row r="251" spans="1:3" x14ac:dyDescent="0.2">
      <c r="A251" t="s">
        <v>796</v>
      </c>
    </row>
    <row r="252" spans="1:3" x14ac:dyDescent="0.2">
      <c r="A252" s="473" t="s">
        <v>717</v>
      </c>
      <c r="B252" s="473" t="s">
        <v>755</v>
      </c>
      <c r="C252" s="474" t="s">
        <v>706</v>
      </c>
    </row>
    <row r="253" spans="1:3" x14ac:dyDescent="0.2">
      <c r="A253" s="477">
        <v>54107</v>
      </c>
      <c r="B253" s="478" t="s">
        <v>789</v>
      </c>
      <c r="C253" s="479">
        <v>84990</v>
      </c>
    </row>
    <row r="254" spans="1:3" x14ac:dyDescent="0.2">
      <c r="A254" s="477">
        <v>55603</v>
      </c>
      <c r="B254" s="478" t="s">
        <v>728</v>
      </c>
      <c r="C254" s="479">
        <v>10</v>
      </c>
    </row>
    <row r="255" spans="1:3" ht="15" x14ac:dyDescent="0.25">
      <c r="A255" s="478"/>
      <c r="B255" s="478" t="s">
        <v>753</v>
      </c>
      <c r="C255" s="480">
        <f>SUM(C253:C254)</f>
        <v>85000</v>
      </c>
    </row>
    <row r="258" spans="1:5" x14ac:dyDescent="0.2">
      <c r="A258" t="s">
        <v>799</v>
      </c>
    </row>
    <row r="259" spans="1:5" x14ac:dyDescent="0.2">
      <c r="A259" t="s">
        <v>798</v>
      </c>
    </row>
    <row r="260" spans="1:5" x14ac:dyDescent="0.2">
      <c r="A260" s="473" t="s">
        <v>717</v>
      </c>
      <c r="B260" s="473" t="s">
        <v>755</v>
      </c>
      <c r="C260" s="474" t="s">
        <v>706</v>
      </c>
    </row>
    <row r="261" spans="1:5" x14ac:dyDescent="0.2">
      <c r="A261" s="477">
        <v>54314</v>
      </c>
      <c r="B261" s="478" t="s">
        <v>781</v>
      </c>
      <c r="C261" s="479">
        <v>16493.02</v>
      </c>
    </row>
    <row r="262" spans="1:5" x14ac:dyDescent="0.2">
      <c r="A262" s="477">
        <v>55603</v>
      </c>
      <c r="B262" s="478" t="s">
        <v>728</v>
      </c>
      <c r="C262" s="479">
        <v>10</v>
      </c>
    </row>
    <row r="263" spans="1:5" ht="15" x14ac:dyDescent="0.25">
      <c r="A263" s="478"/>
      <c r="B263" s="478" t="s">
        <v>753</v>
      </c>
      <c r="C263" s="480">
        <f>SUM(C261:C262)</f>
        <v>16503.02</v>
      </c>
    </row>
    <row r="267" spans="1:5" x14ac:dyDescent="0.2">
      <c r="A267" t="s">
        <v>694</v>
      </c>
    </row>
    <row r="268" spans="1:5" x14ac:dyDescent="0.2">
      <c r="A268" t="s">
        <v>800</v>
      </c>
      <c r="E268" t="s">
        <v>659</v>
      </c>
    </row>
    <row r="269" spans="1:5" x14ac:dyDescent="0.2">
      <c r="A269" s="473" t="s">
        <v>717</v>
      </c>
      <c r="B269" s="473" t="s">
        <v>755</v>
      </c>
      <c r="C269" s="474" t="s">
        <v>706</v>
      </c>
    </row>
    <row r="270" spans="1:5" x14ac:dyDescent="0.2">
      <c r="A270" s="477">
        <v>54314</v>
      </c>
      <c r="B270" s="478" t="s">
        <v>781</v>
      </c>
      <c r="C270" s="479">
        <v>14990</v>
      </c>
    </row>
    <row r="271" spans="1:5" x14ac:dyDescent="0.2">
      <c r="A271" s="477">
        <v>55603</v>
      </c>
      <c r="B271" s="478" t="s">
        <v>728</v>
      </c>
      <c r="C271" s="479">
        <v>10</v>
      </c>
    </row>
    <row r="272" spans="1:5" ht="15" x14ac:dyDescent="0.25">
      <c r="A272" s="478"/>
      <c r="B272" s="478" t="s">
        <v>753</v>
      </c>
      <c r="C272" s="480">
        <f>SUM(C270:C271)</f>
        <v>15000</v>
      </c>
    </row>
    <row r="274" spans="1:3" x14ac:dyDescent="0.2">
      <c r="A274">
        <v>21</v>
      </c>
      <c r="B274" s="492" t="s">
        <v>679</v>
      </c>
    </row>
    <row r="275" spans="1:3" x14ac:dyDescent="0.2">
      <c r="A275" s="473" t="s">
        <v>717</v>
      </c>
      <c r="B275" s="473" t="s">
        <v>755</v>
      </c>
      <c r="C275" s="474" t="s">
        <v>706</v>
      </c>
    </row>
    <row r="276" spans="1:3" x14ac:dyDescent="0.2">
      <c r="A276" s="477">
        <v>54118</v>
      </c>
      <c r="B276" s="478" t="s">
        <v>709</v>
      </c>
      <c r="C276" s="479">
        <v>50000</v>
      </c>
    </row>
    <row r="277" spans="1:3" x14ac:dyDescent="0.2">
      <c r="A277" s="477">
        <v>54111</v>
      </c>
      <c r="B277" s="478" t="s">
        <v>788</v>
      </c>
      <c r="C277" s="479">
        <v>50000</v>
      </c>
    </row>
    <row r="278" spans="1:3" x14ac:dyDescent="0.2">
      <c r="A278" s="477">
        <v>54112</v>
      </c>
      <c r="B278" s="478" t="s">
        <v>805</v>
      </c>
      <c r="C278" s="479">
        <v>49990</v>
      </c>
    </row>
    <row r="279" spans="1:3" x14ac:dyDescent="0.2">
      <c r="A279" s="477">
        <v>55603</v>
      </c>
      <c r="B279" s="478" t="s">
        <v>710</v>
      </c>
      <c r="C279" s="479">
        <v>10</v>
      </c>
    </row>
    <row r="280" spans="1:3" ht="15" x14ac:dyDescent="0.25">
      <c r="A280" s="478"/>
      <c r="B280" s="478" t="s">
        <v>753</v>
      </c>
      <c r="C280" s="480">
        <f>SUM(C276:C279)</f>
        <v>150000</v>
      </c>
    </row>
    <row r="281" spans="1:3" ht="13.5" thickBot="1" x14ac:dyDescent="0.25"/>
    <row r="282" spans="1:3" ht="13.5" thickBot="1" x14ac:dyDescent="0.25">
      <c r="B282" s="552" t="s">
        <v>894</v>
      </c>
      <c r="C282" s="555">
        <f>C280+C272+C263+C255+C247+C237+C227+C213+C204+C190+C175+C160+C145+C130+C119+C109+C97+C86+C65+C45+C24+C13</f>
        <v>767358.69000000006</v>
      </c>
    </row>
    <row r="286" spans="1:3" ht="35.25" customHeight="1" x14ac:dyDescent="0.2">
      <c r="B286" s="543" t="s">
        <v>904</v>
      </c>
      <c r="C286" s="451">
        <v>812598.43</v>
      </c>
    </row>
    <row r="289" spans="2:3" ht="25.5" x14ac:dyDescent="0.2">
      <c r="B289" s="543" t="s">
        <v>895</v>
      </c>
      <c r="C289" s="451">
        <v>458360.65</v>
      </c>
    </row>
    <row r="292" spans="2:3" x14ac:dyDescent="0.2">
      <c r="B292" s="21" t="s">
        <v>899</v>
      </c>
      <c r="C292" s="536">
        <f>SUM(C282:C291)</f>
        <v>2038317.77</v>
      </c>
    </row>
  </sheetData>
  <mergeCells count="44">
    <mergeCell ref="A206:D206"/>
    <mergeCell ref="A15:D15"/>
    <mergeCell ref="A101:D102"/>
    <mergeCell ref="A112:D113"/>
    <mergeCell ref="A122:D123"/>
    <mergeCell ref="A134:D135"/>
    <mergeCell ref="A149:D150"/>
    <mergeCell ref="A179:L180"/>
    <mergeCell ref="A164:D166"/>
    <mergeCell ref="A194:D195"/>
    <mergeCell ref="C39:D39"/>
    <mergeCell ref="C40:D40"/>
    <mergeCell ref="C42:D42"/>
    <mergeCell ref="C43:D43"/>
    <mergeCell ref="C44:D44"/>
    <mergeCell ref="C45:D45"/>
    <mergeCell ref="C41:D41"/>
    <mergeCell ref="A49:D49"/>
    <mergeCell ref="A69:D69"/>
    <mergeCell ref="A90:D91"/>
    <mergeCell ref="C34:D34"/>
    <mergeCell ref="C35:D35"/>
    <mergeCell ref="C36:D36"/>
    <mergeCell ref="C37:D37"/>
    <mergeCell ref="C38:D38"/>
    <mergeCell ref="C33:D33"/>
    <mergeCell ref="C20:D20"/>
    <mergeCell ref="C21:D21"/>
    <mergeCell ref="C17:D17"/>
    <mergeCell ref="C18:D18"/>
    <mergeCell ref="C19:D19"/>
    <mergeCell ref="C22:D22"/>
    <mergeCell ref="C23:D23"/>
    <mergeCell ref="C24:D24"/>
    <mergeCell ref="C31:D31"/>
    <mergeCell ref="C32:D32"/>
    <mergeCell ref="A27:D27"/>
    <mergeCell ref="A2:B2"/>
    <mergeCell ref="C9:D9"/>
    <mergeCell ref="C8:D8"/>
    <mergeCell ref="C13:D13"/>
    <mergeCell ref="C12:D12"/>
    <mergeCell ref="C11:D11"/>
    <mergeCell ref="C10:D10"/>
  </mergeCells>
  <pageMargins left="1.1599999999999999" right="1.74" top="0.75" bottom="0.75" header="0.3" footer="0.3"/>
  <pageSetup paperSize="5" scale="76" fitToHeight="0" orientation="portrait" r:id="rId1"/>
  <rowBreaks count="3" manualBreakCount="3">
    <brk id="88" max="8" man="1"/>
    <brk id="177" max="8" man="1"/>
    <brk id="265" max="8" man="1"/>
  </rowBreaks>
  <colBreaks count="1" manualBreakCount="1">
    <brk id="4" max="298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73"/>
  <sheetViews>
    <sheetView view="pageBreakPreview" zoomScale="110" zoomScaleNormal="100" zoomScaleSheetLayoutView="110" workbookViewId="0">
      <selection activeCell="E66" sqref="E66"/>
    </sheetView>
  </sheetViews>
  <sheetFormatPr baseColWidth="10" defaultRowHeight="12.75" x14ac:dyDescent="0.2"/>
  <cols>
    <col min="2" max="2" width="11.42578125" customWidth="1"/>
    <col min="3" max="3" width="13.7109375" customWidth="1"/>
  </cols>
  <sheetData>
    <row r="1" spans="1:10" x14ac:dyDescent="0.2">
      <c r="A1" s="792" t="s">
        <v>886</v>
      </c>
      <c r="B1" s="792"/>
      <c r="C1" s="792"/>
      <c r="D1" s="792"/>
      <c r="E1" s="792"/>
      <c r="F1" s="792"/>
      <c r="G1" s="792"/>
      <c r="H1" s="792"/>
      <c r="I1" s="792"/>
      <c r="J1" s="792"/>
    </row>
    <row r="3" spans="1:10" x14ac:dyDescent="0.2">
      <c r="A3">
        <v>1</v>
      </c>
    </row>
    <row r="4" spans="1:10" ht="31.5" customHeight="1" x14ac:dyDescent="0.2">
      <c r="A4" s="791" t="s">
        <v>817</v>
      </c>
      <c r="B4" s="791"/>
      <c r="C4" s="791"/>
      <c r="D4" s="791"/>
      <c r="E4" s="791"/>
      <c r="F4" s="791"/>
      <c r="G4" s="791"/>
      <c r="H4" s="791"/>
    </row>
    <row r="6" spans="1:10" x14ac:dyDescent="0.2">
      <c r="A6" s="515" t="s">
        <v>717</v>
      </c>
      <c r="B6" s="515" t="s">
        <v>755</v>
      </c>
      <c r="C6" s="515" t="s">
        <v>733</v>
      </c>
    </row>
    <row r="7" spans="1:10" x14ac:dyDescent="0.2">
      <c r="A7" s="518">
        <v>61601</v>
      </c>
      <c r="B7" s="515" t="s">
        <v>818</v>
      </c>
      <c r="C7" s="517">
        <v>53124.18</v>
      </c>
    </row>
    <row r="8" spans="1:10" x14ac:dyDescent="0.2">
      <c r="A8" s="516"/>
      <c r="B8" s="516"/>
      <c r="C8" s="516"/>
    </row>
    <row r="10" spans="1:10" x14ac:dyDescent="0.2">
      <c r="A10" s="21" t="s">
        <v>716</v>
      </c>
    </row>
    <row r="11" spans="1:10" x14ac:dyDescent="0.2">
      <c r="A11" s="21" t="s">
        <v>819</v>
      </c>
    </row>
    <row r="13" spans="1:10" x14ac:dyDescent="0.2">
      <c r="A13" s="515" t="s">
        <v>717</v>
      </c>
      <c r="B13" s="515" t="s">
        <v>755</v>
      </c>
      <c r="C13" s="515" t="s">
        <v>733</v>
      </c>
    </row>
    <row r="14" spans="1:10" x14ac:dyDescent="0.2">
      <c r="A14" s="518">
        <v>61601</v>
      </c>
      <c r="B14" s="515" t="s">
        <v>818</v>
      </c>
      <c r="C14" s="517">
        <v>32316.25</v>
      </c>
    </row>
    <row r="15" spans="1:10" x14ac:dyDescent="0.2">
      <c r="A15" s="516"/>
      <c r="B15" s="516"/>
      <c r="C15" s="516"/>
    </row>
    <row r="17" spans="1:3" x14ac:dyDescent="0.2">
      <c r="A17" s="21" t="s">
        <v>732</v>
      </c>
    </row>
    <row r="18" spans="1:3" x14ac:dyDescent="0.2">
      <c r="A18" s="21" t="s">
        <v>820</v>
      </c>
    </row>
    <row r="20" spans="1:3" x14ac:dyDescent="0.2">
      <c r="A20" s="515" t="s">
        <v>717</v>
      </c>
      <c r="B20" s="515" t="s">
        <v>755</v>
      </c>
      <c r="C20" s="515" t="s">
        <v>733</v>
      </c>
    </row>
    <row r="21" spans="1:3" x14ac:dyDescent="0.2">
      <c r="A21" s="518">
        <v>61601</v>
      </c>
      <c r="B21" s="515" t="s">
        <v>818</v>
      </c>
      <c r="C21" s="517">
        <v>11329.14</v>
      </c>
    </row>
    <row r="22" spans="1:3" x14ac:dyDescent="0.2">
      <c r="A22" s="516"/>
      <c r="B22" s="516"/>
      <c r="C22" s="516"/>
    </row>
    <row r="24" spans="1:3" x14ac:dyDescent="0.2">
      <c r="A24" s="21" t="s">
        <v>742</v>
      </c>
    </row>
    <row r="25" spans="1:3" x14ac:dyDescent="0.2">
      <c r="A25" s="21" t="s">
        <v>821</v>
      </c>
    </row>
    <row r="27" spans="1:3" x14ac:dyDescent="0.2">
      <c r="A27" s="515" t="s">
        <v>717</v>
      </c>
      <c r="B27" s="515" t="s">
        <v>755</v>
      </c>
      <c r="C27" s="515" t="s">
        <v>733</v>
      </c>
    </row>
    <row r="28" spans="1:3" x14ac:dyDescent="0.2">
      <c r="A28" s="518">
        <v>61601</v>
      </c>
      <c r="B28" s="515" t="s">
        <v>818</v>
      </c>
      <c r="C28" s="517">
        <v>15000</v>
      </c>
    </row>
    <row r="29" spans="1:3" x14ac:dyDescent="0.2">
      <c r="A29" s="516"/>
      <c r="B29" s="516"/>
      <c r="C29" s="516"/>
    </row>
    <row r="31" spans="1:3" x14ac:dyDescent="0.2">
      <c r="A31" s="21" t="s">
        <v>822</v>
      </c>
    </row>
    <row r="32" spans="1:3" x14ac:dyDescent="0.2">
      <c r="A32" s="21" t="s">
        <v>823</v>
      </c>
    </row>
    <row r="34" spans="1:3" x14ac:dyDescent="0.2">
      <c r="A34" s="515" t="s">
        <v>717</v>
      </c>
      <c r="B34" s="515" t="s">
        <v>755</v>
      </c>
      <c r="C34" s="515" t="s">
        <v>733</v>
      </c>
    </row>
    <row r="35" spans="1:3" x14ac:dyDescent="0.2">
      <c r="A35" s="518">
        <v>61601</v>
      </c>
      <c r="B35" s="515" t="s">
        <v>818</v>
      </c>
      <c r="C35" s="517">
        <v>20978.91</v>
      </c>
    </row>
    <row r="36" spans="1:3" x14ac:dyDescent="0.2">
      <c r="A36" s="516"/>
      <c r="B36" s="516"/>
      <c r="C36" s="516"/>
    </row>
    <row r="38" spans="1:3" x14ac:dyDescent="0.2">
      <c r="A38" s="21" t="s">
        <v>759</v>
      </c>
    </row>
    <row r="39" spans="1:3" x14ac:dyDescent="0.2">
      <c r="A39" s="21" t="s">
        <v>824</v>
      </c>
    </row>
    <row r="40" spans="1:3" x14ac:dyDescent="0.2">
      <c r="A40" s="515" t="s">
        <v>717</v>
      </c>
      <c r="B40" s="515" t="s">
        <v>755</v>
      </c>
      <c r="C40" s="515" t="s">
        <v>733</v>
      </c>
    </row>
    <row r="41" spans="1:3" x14ac:dyDescent="0.2">
      <c r="A41" s="518">
        <v>61601</v>
      </c>
      <c r="B41" s="515" t="s">
        <v>818</v>
      </c>
      <c r="C41" s="517">
        <v>15800</v>
      </c>
    </row>
    <row r="42" spans="1:3" x14ac:dyDescent="0.2">
      <c r="A42" s="516"/>
      <c r="B42" s="516"/>
      <c r="C42" s="516"/>
    </row>
    <row r="44" spans="1:3" x14ac:dyDescent="0.2">
      <c r="A44" s="21" t="s">
        <v>762</v>
      </c>
    </row>
    <row r="45" spans="1:3" x14ac:dyDescent="0.2">
      <c r="A45" s="21" t="s">
        <v>825</v>
      </c>
    </row>
    <row r="46" spans="1:3" x14ac:dyDescent="0.2">
      <c r="A46" s="515" t="s">
        <v>717</v>
      </c>
      <c r="B46" s="515" t="s">
        <v>755</v>
      </c>
      <c r="C46" s="515" t="s">
        <v>733</v>
      </c>
    </row>
    <row r="47" spans="1:3" x14ac:dyDescent="0.2">
      <c r="A47" s="518">
        <v>61601</v>
      </c>
      <c r="B47" s="515" t="s">
        <v>818</v>
      </c>
      <c r="C47" s="517">
        <v>37207.29</v>
      </c>
    </row>
    <row r="48" spans="1:3" x14ac:dyDescent="0.2">
      <c r="A48" s="516"/>
      <c r="B48" s="516"/>
      <c r="C48" s="516"/>
    </row>
    <row r="50" spans="1:3" x14ac:dyDescent="0.2">
      <c r="A50" s="21" t="s">
        <v>764</v>
      </c>
    </row>
    <row r="51" spans="1:3" x14ac:dyDescent="0.2">
      <c r="A51" s="21" t="s">
        <v>826</v>
      </c>
    </row>
    <row r="52" spans="1:3" x14ac:dyDescent="0.2">
      <c r="A52" s="515" t="s">
        <v>717</v>
      </c>
      <c r="B52" s="515" t="s">
        <v>755</v>
      </c>
      <c r="C52" s="515" t="s">
        <v>733</v>
      </c>
    </row>
    <row r="53" spans="1:3" x14ac:dyDescent="0.2">
      <c r="A53" s="518">
        <v>61601</v>
      </c>
      <c r="B53" s="515" t="s">
        <v>818</v>
      </c>
      <c r="C53" s="517">
        <v>75852.240000000005</v>
      </c>
    </row>
    <row r="54" spans="1:3" x14ac:dyDescent="0.2">
      <c r="A54" s="516"/>
      <c r="B54" s="516"/>
      <c r="C54" s="516"/>
    </row>
    <row r="56" spans="1:3" x14ac:dyDescent="0.2">
      <c r="A56" s="21" t="s">
        <v>766</v>
      </c>
    </row>
    <row r="57" spans="1:3" x14ac:dyDescent="0.2">
      <c r="A57" s="21" t="s">
        <v>827</v>
      </c>
    </row>
    <row r="58" spans="1:3" x14ac:dyDescent="0.2">
      <c r="A58" s="515" t="s">
        <v>717</v>
      </c>
      <c r="B58" s="515" t="s">
        <v>755</v>
      </c>
      <c r="C58" s="515" t="s">
        <v>733</v>
      </c>
    </row>
    <row r="59" spans="1:3" x14ac:dyDescent="0.2">
      <c r="A59" s="518">
        <v>61601</v>
      </c>
      <c r="B59" s="515" t="s">
        <v>818</v>
      </c>
      <c r="C59" s="517">
        <v>44150.55</v>
      </c>
    </row>
    <row r="60" spans="1:3" x14ac:dyDescent="0.2">
      <c r="A60" s="516"/>
      <c r="B60" s="516"/>
      <c r="C60" s="516"/>
    </row>
    <row r="62" spans="1:3" x14ac:dyDescent="0.2">
      <c r="A62" s="21" t="s">
        <v>773</v>
      </c>
    </row>
    <row r="63" spans="1:3" ht="22.5" customHeight="1" x14ac:dyDescent="0.2">
      <c r="A63" s="21" t="s">
        <v>902</v>
      </c>
    </row>
    <row r="64" spans="1:3" x14ac:dyDescent="0.2">
      <c r="A64" s="515" t="s">
        <v>717</v>
      </c>
      <c r="B64" s="515" t="s">
        <v>755</v>
      </c>
      <c r="C64" s="515" t="s">
        <v>733</v>
      </c>
    </row>
    <row r="65" spans="1:3" x14ac:dyDescent="0.2">
      <c r="A65" s="518">
        <v>61601</v>
      </c>
      <c r="B65" s="515" t="s">
        <v>818</v>
      </c>
      <c r="C65" s="517">
        <v>29288.42</v>
      </c>
    </row>
    <row r="66" spans="1:3" x14ac:dyDescent="0.2">
      <c r="A66" s="516"/>
      <c r="B66" s="516"/>
      <c r="C66" s="516"/>
    </row>
    <row r="68" spans="1:3" x14ac:dyDescent="0.2">
      <c r="A68" s="21" t="s">
        <v>776</v>
      </c>
    </row>
    <row r="69" spans="1:3" x14ac:dyDescent="0.2">
      <c r="A69" s="21" t="s">
        <v>828</v>
      </c>
    </row>
    <row r="70" spans="1:3" x14ac:dyDescent="0.2">
      <c r="A70" s="515" t="s">
        <v>717</v>
      </c>
      <c r="B70" s="515" t="s">
        <v>755</v>
      </c>
      <c r="C70" s="515" t="s">
        <v>733</v>
      </c>
    </row>
    <row r="71" spans="1:3" x14ac:dyDescent="0.2">
      <c r="A71" s="518">
        <v>61601</v>
      </c>
      <c r="B71" s="515" t="s">
        <v>818</v>
      </c>
      <c r="C71" s="517">
        <f>36732.94-0.01</f>
        <v>36732.93</v>
      </c>
    </row>
    <row r="72" spans="1:3" x14ac:dyDescent="0.2">
      <c r="A72" s="516"/>
      <c r="B72" s="516"/>
      <c r="C72" s="516"/>
    </row>
    <row r="73" spans="1:3" x14ac:dyDescent="0.2">
      <c r="A73" s="542" t="s">
        <v>881</v>
      </c>
      <c r="C73" s="541">
        <f>SUM(C7:C72)</f>
        <v>371779.91</v>
      </c>
    </row>
  </sheetData>
  <mergeCells count="2">
    <mergeCell ref="A4:H4"/>
    <mergeCell ref="A1:J1"/>
  </mergeCells>
  <pageMargins left="0.7" right="0.7" top="1.24" bottom="0.75" header="0.3" footer="0.3"/>
  <pageSetup paperSize="5" scale="79" orientation="portrait" r:id="rId1"/>
  <colBreaks count="1" manualBreakCount="1">
    <brk id="10" max="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22"/>
  <sheetViews>
    <sheetView view="pageBreakPreview" topLeftCell="A133" zoomScale="84" zoomScaleNormal="100" zoomScaleSheetLayoutView="84" workbookViewId="0">
      <selection activeCell="F123" sqref="F123"/>
    </sheetView>
  </sheetViews>
  <sheetFormatPr baseColWidth="10" defaultRowHeight="12.75" x14ac:dyDescent="0.2"/>
  <cols>
    <col min="2" max="2" width="34" customWidth="1"/>
    <col min="3" max="3" width="12.85546875" bestFit="1" customWidth="1"/>
    <col min="6" max="6" width="13" customWidth="1"/>
  </cols>
  <sheetData>
    <row r="1" spans="1:8" x14ac:dyDescent="0.2">
      <c r="A1" s="792" t="s">
        <v>887</v>
      </c>
      <c r="B1" s="792"/>
      <c r="C1" s="792"/>
      <c r="D1" s="792"/>
      <c r="E1" s="792"/>
      <c r="F1" s="792"/>
      <c r="G1" s="544"/>
      <c r="H1" s="544"/>
    </row>
    <row r="2" spans="1:8" x14ac:dyDescent="0.2">
      <c r="A2">
        <v>1</v>
      </c>
    </row>
    <row r="3" spans="1:8" ht="25.5" customHeight="1" x14ac:dyDescent="0.2">
      <c r="A3" s="793" t="s">
        <v>829</v>
      </c>
      <c r="B3" s="794"/>
      <c r="C3" s="794"/>
      <c r="D3" s="794"/>
      <c r="E3" s="794"/>
    </row>
    <row r="5" spans="1:8" x14ac:dyDescent="0.2">
      <c r="A5" s="515" t="s">
        <v>717</v>
      </c>
      <c r="B5" s="515" t="s">
        <v>755</v>
      </c>
      <c r="C5" s="515" t="s">
        <v>733</v>
      </c>
    </row>
    <row r="6" spans="1:8" x14ac:dyDescent="0.2">
      <c r="A6" s="516">
        <v>61601</v>
      </c>
      <c r="B6" s="515" t="s">
        <v>818</v>
      </c>
      <c r="C6" s="517">
        <v>4302.07</v>
      </c>
    </row>
    <row r="7" spans="1:8" x14ac:dyDescent="0.2">
      <c r="A7" s="516"/>
      <c r="B7" s="516"/>
      <c r="C7" s="516"/>
    </row>
    <row r="9" spans="1:8" x14ac:dyDescent="0.2">
      <c r="A9" s="21" t="s">
        <v>716</v>
      </c>
    </row>
    <row r="10" spans="1:8" ht="25.5" customHeight="1" x14ac:dyDescent="0.2">
      <c r="A10" s="795" t="s">
        <v>830</v>
      </c>
      <c r="B10" s="796"/>
      <c r="C10" s="796"/>
      <c r="D10" s="796"/>
      <c r="E10" s="796"/>
    </row>
    <row r="11" spans="1:8" x14ac:dyDescent="0.2">
      <c r="A11" s="515" t="s">
        <v>717</v>
      </c>
      <c r="B11" s="515" t="s">
        <v>755</v>
      </c>
      <c r="C11" s="515" t="s">
        <v>733</v>
      </c>
    </row>
    <row r="12" spans="1:8" x14ac:dyDescent="0.2">
      <c r="A12" s="516">
        <v>61601</v>
      </c>
      <c r="B12" s="515" t="s">
        <v>818</v>
      </c>
      <c r="C12" s="517">
        <v>7999.8</v>
      </c>
    </row>
    <row r="13" spans="1:8" x14ac:dyDescent="0.2">
      <c r="A13" s="516"/>
      <c r="B13" s="516"/>
      <c r="C13" s="516"/>
    </row>
    <row r="15" spans="1:8" x14ac:dyDescent="0.2">
      <c r="A15" s="21" t="s">
        <v>732</v>
      </c>
    </row>
    <row r="16" spans="1:8" ht="24" customHeight="1" x14ac:dyDescent="0.2">
      <c r="A16" s="795" t="s">
        <v>831</v>
      </c>
      <c r="B16" s="796"/>
      <c r="C16" s="796"/>
      <c r="D16" s="796"/>
      <c r="E16" s="796"/>
    </row>
    <row r="17" spans="1:5" x14ac:dyDescent="0.2">
      <c r="A17" s="515" t="s">
        <v>717</v>
      </c>
      <c r="B17" s="515" t="s">
        <v>755</v>
      </c>
      <c r="C17" s="515" t="s">
        <v>733</v>
      </c>
    </row>
    <row r="18" spans="1:5" x14ac:dyDescent="0.2">
      <c r="A18" s="516">
        <v>61601</v>
      </c>
      <c r="B18" s="515" t="s">
        <v>818</v>
      </c>
      <c r="C18" s="517">
        <v>4917.41</v>
      </c>
    </row>
    <row r="19" spans="1:5" x14ac:dyDescent="0.2">
      <c r="A19" s="516"/>
      <c r="B19" s="516"/>
      <c r="C19" s="516"/>
    </row>
    <row r="21" spans="1:5" x14ac:dyDescent="0.2">
      <c r="A21" s="21" t="s">
        <v>742</v>
      </c>
    </row>
    <row r="22" spans="1:5" ht="26.25" customHeight="1" x14ac:dyDescent="0.2">
      <c r="A22" s="793" t="s">
        <v>832</v>
      </c>
      <c r="B22" s="794"/>
      <c r="C22" s="794"/>
      <c r="D22" s="794"/>
      <c r="E22" s="794"/>
    </row>
    <row r="23" spans="1:5" x14ac:dyDescent="0.2">
      <c r="A23" s="515" t="s">
        <v>717</v>
      </c>
      <c r="B23" s="515" t="s">
        <v>755</v>
      </c>
      <c r="C23" s="515" t="s">
        <v>733</v>
      </c>
    </row>
    <row r="24" spans="1:5" x14ac:dyDescent="0.2">
      <c r="A24" s="516">
        <v>61601</v>
      </c>
      <c r="B24" s="515" t="s">
        <v>818</v>
      </c>
      <c r="C24" s="517">
        <v>2381.62</v>
      </c>
    </row>
    <row r="25" spans="1:5" x14ac:dyDescent="0.2">
      <c r="A25" s="516"/>
      <c r="B25" s="516"/>
      <c r="C25" s="516"/>
    </row>
    <row r="27" spans="1:5" x14ac:dyDescent="0.2">
      <c r="A27" s="21" t="s">
        <v>822</v>
      </c>
    </row>
    <row r="28" spans="1:5" ht="25.5" customHeight="1" x14ac:dyDescent="0.2">
      <c r="A28" s="791" t="s">
        <v>833</v>
      </c>
      <c r="B28" s="791"/>
      <c r="C28" s="791"/>
      <c r="D28" s="791"/>
      <c r="E28" s="791"/>
    </row>
    <row r="29" spans="1:5" x14ac:dyDescent="0.2">
      <c r="A29" s="515" t="s">
        <v>717</v>
      </c>
      <c r="B29" s="515" t="s">
        <v>755</v>
      </c>
      <c r="C29" s="515" t="s">
        <v>733</v>
      </c>
    </row>
    <row r="30" spans="1:5" x14ac:dyDescent="0.2">
      <c r="A30" s="516">
        <v>61601</v>
      </c>
      <c r="B30" s="515" t="s">
        <v>818</v>
      </c>
      <c r="C30" s="517">
        <v>3280.74</v>
      </c>
    </row>
    <row r="31" spans="1:5" x14ac:dyDescent="0.2">
      <c r="A31" s="516"/>
      <c r="B31" s="516"/>
      <c r="C31" s="516"/>
    </row>
    <row r="33" spans="1:5" x14ac:dyDescent="0.2">
      <c r="A33" s="21" t="s">
        <v>759</v>
      </c>
    </row>
    <row r="34" spans="1:5" ht="26.25" customHeight="1" x14ac:dyDescent="0.2">
      <c r="A34" s="795" t="s">
        <v>834</v>
      </c>
      <c r="B34" s="796"/>
      <c r="C34" s="796"/>
      <c r="D34" s="796"/>
      <c r="E34" s="796"/>
    </row>
    <row r="35" spans="1:5" x14ac:dyDescent="0.2">
      <c r="A35" s="515" t="s">
        <v>717</v>
      </c>
      <c r="B35" s="515" t="s">
        <v>755</v>
      </c>
      <c r="C35" s="515" t="s">
        <v>733</v>
      </c>
    </row>
    <row r="36" spans="1:5" x14ac:dyDescent="0.2">
      <c r="A36" s="516">
        <v>61601</v>
      </c>
      <c r="B36" s="515" t="s">
        <v>818</v>
      </c>
      <c r="C36" s="517">
        <v>4094.96</v>
      </c>
    </row>
    <row r="37" spans="1:5" x14ac:dyDescent="0.2">
      <c r="A37" s="516"/>
      <c r="B37" s="516"/>
      <c r="C37" s="516"/>
    </row>
    <row r="39" spans="1:5" x14ac:dyDescent="0.2">
      <c r="A39" s="21" t="s">
        <v>762</v>
      </c>
    </row>
    <row r="40" spans="1:5" ht="24" customHeight="1" x14ac:dyDescent="0.2">
      <c r="A40" s="795" t="s">
        <v>835</v>
      </c>
      <c r="B40" s="796"/>
      <c r="C40" s="796"/>
      <c r="D40" s="796"/>
      <c r="E40" s="796"/>
    </row>
    <row r="41" spans="1:5" x14ac:dyDescent="0.2">
      <c r="A41" s="515" t="s">
        <v>717</v>
      </c>
      <c r="B41" s="515" t="s">
        <v>755</v>
      </c>
      <c r="C41" s="515" t="s">
        <v>733</v>
      </c>
    </row>
    <row r="42" spans="1:5" x14ac:dyDescent="0.2">
      <c r="A42" s="516">
        <v>61601</v>
      </c>
      <c r="B42" s="515" t="s">
        <v>818</v>
      </c>
      <c r="C42" s="517">
        <v>11976.28</v>
      </c>
    </row>
    <row r="43" spans="1:5" x14ac:dyDescent="0.2">
      <c r="A43" s="516"/>
      <c r="B43" s="516"/>
      <c r="C43" s="516"/>
    </row>
    <row r="45" spans="1:5" x14ac:dyDescent="0.2">
      <c r="A45" s="21" t="s">
        <v>764</v>
      </c>
    </row>
    <row r="46" spans="1:5" ht="27" customHeight="1" x14ac:dyDescent="0.2">
      <c r="A46" s="795" t="s">
        <v>836</v>
      </c>
      <c r="B46" s="796"/>
      <c r="C46" s="796"/>
      <c r="D46" s="796"/>
      <c r="E46" s="796"/>
    </row>
    <row r="47" spans="1:5" x14ac:dyDescent="0.2">
      <c r="A47" s="515" t="s">
        <v>717</v>
      </c>
      <c r="B47" s="515" t="s">
        <v>755</v>
      </c>
      <c r="C47" s="515" t="s">
        <v>733</v>
      </c>
    </row>
    <row r="48" spans="1:5" x14ac:dyDescent="0.2">
      <c r="A48" s="516">
        <v>61601</v>
      </c>
      <c r="B48" s="515" t="s">
        <v>818</v>
      </c>
      <c r="C48" s="517">
        <v>12072.73</v>
      </c>
    </row>
    <row r="49" spans="1:5" x14ac:dyDescent="0.2">
      <c r="A49" s="516"/>
      <c r="B49" s="516"/>
      <c r="C49" s="516"/>
    </row>
    <row r="51" spans="1:5" x14ac:dyDescent="0.2">
      <c r="A51" s="21" t="s">
        <v>766</v>
      </c>
    </row>
    <row r="52" spans="1:5" ht="26.25" customHeight="1" x14ac:dyDescent="0.2">
      <c r="A52" s="795" t="s">
        <v>837</v>
      </c>
      <c r="B52" s="796"/>
      <c r="C52" s="796"/>
      <c r="D52" s="796"/>
      <c r="E52" s="796"/>
    </row>
    <row r="53" spans="1:5" x14ac:dyDescent="0.2">
      <c r="A53" s="515" t="s">
        <v>717</v>
      </c>
      <c r="B53" s="515" t="s">
        <v>755</v>
      </c>
      <c r="C53" s="515" t="s">
        <v>733</v>
      </c>
    </row>
    <row r="54" spans="1:5" x14ac:dyDescent="0.2">
      <c r="A54" s="516">
        <v>61601</v>
      </c>
      <c r="B54" s="515" t="s">
        <v>818</v>
      </c>
      <c r="C54" s="517">
        <v>7408.54</v>
      </c>
    </row>
    <row r="55" spans="1:5" x14ac:dyDescent="0.2">
      <c r="A55" s="516"/>
      <c r="B55" s="516"/>
      <c r="C55" s="516"/>
    </row>
    <row r="57" spans="1:5" x14ac:dyDescent="0.2">
      <c r="A57" s="21" t="s">
        <v>773</v>
      </c>
    </row>
    <row r="58" spans="1:5" ht="25.5" customHeight="1" x14ac:dyDescent="0.2">
      <c r="A58" s="795" t="s">
        <v>838</v>
      </c>
      <c r="B58" s="796"/>
      <c r="C58" s="796"/>
      <c r="D58" s="796"/>
      <c r="E58" s="796"/>
    </row>
    <row r="59" spans="1:5" x14ac:dyDescent="0.2">
      <c r="A59" s="515" t="s">
        <v>717</v>
      </c>
      <c r="B59" s="515" t="s">
        <v>755</v>
      </c>
      <c r="C59" s="515" t="s">
        <v>733</v>
      </c>
    </row>
    <row r="60" spans="1:5" x14ac:dyDescent="0.2">
      <c r="A60" s="516">
        <v>61601</v>
      </c>
      <c r="B60" s="515" t="s">
        <v>818</v>
      </c>
      <c r="C60" s="517">
        <v>1906.18</v>
      </c>
    </row>
    <row r="61" spans="1:5" x14ac:dyDescent="0.2">
      <c r="A61" s="516"/>
      <c r="B61" s="516"/>
      <c r="C61" s="516"/>
    </row>
    <row r="63" spans="1:5" x14ac:dyDescent="0.2">
      <c r="A63" s="21" t="s">
        <v>776</v>
      </c>
    </row>
    <row r="64" spans="1:5" ht="26.25" customHeight="1" x14ac:dyDescent="0.2">
      <c r="A64" s="795" t="s">
        <v>839</v>
      </c>
      <c r="B64" s="796"/>
      <c r="C64" s="796"/>
      <c r="D64" s="796"/>
      <c r="E64" s="796"/>
    </row>
    <row r="65" spans="1:5" x14ac:dyDescent="0.2">
      <c r="A65" s="515" t="s">
        <v>717</v>
      </c>
      <c r="B65" s="515" t="s">
        <v>755</v>
      </c>
      <c r="C65" s="515" t="s">
        <v>733</v>
      </c>
    </row>
    <row r="66" spans="1:5" x14ac:dyDescent="0.2">
      <c r="A66" s="516">
        <v>61601</v>
      </c>
      <c r="B66" s="515" t="s">
        <v>818</v>
      </c>
      <c r="C66" s="517">
        <v>30111.439999999999</v>
      </c>
    </row>
    <row r="67" spans="1:5" x14ac:dyDescent="0.2">
      <c r="A67" s="516"/>
      <c r="B67" s="516"/>
      <c r="C67" s="516"/>
    </row>
    <row r="69" spans="1:5" x14ac:dyDescent="0.2">
      <c r="A69" s="21" t="s">
        <v>780</v>
      </c>
    </row>
    <row r="70" spans="1:5" ht="24" customHeight="1" x14ac:dyDescent="0.2">
      <c r="A70" s="795" t="s">
        <v>840</v>
      </c>
      <c r="B70" s="796"/>
      <c r="C70" s="796"/>
      <c r="D70" s="796"/>
      <c r="E70" s="796"/>
    </row>
    <row r="71" spans="1:5" x14ac:dyDescent="0.2">
      <c r="A71" s="515" t="s">
        <v>717</v>
      </c>
      <c r="B71" s="515" t="s">
        <v>755</v>
      </c>
      <c r="C71" s="515" t="s">
        <v>733</v>
      </c>
    </row>
    <row r="72" spans="1:5" x14ac:dyDescent="0.2">
      <c r="A72" s="516">
        <v>61601</v>
      </c>
      <c r="B72" s="515" t="s">
        <v>818</v>
      </c>
      <c r="C72" s="517">
        <v>31043.1</v>
      </c>
    </row>
    <row r="73" spans="1:5" x14ac:dyDescent="0.2">
      <c r="A73" s="516"/>
      <c r="B73" s="516"/>
      <c r="C73" s="516"/>
    </row>
    <row r="75" spans="1:5" x14ac:dyDescent="0.2">
      <c r="A75" s="21" t="s">
        <v>782</v>
      </c>
    </row>
    <row r="76" spans="1:5" ht="25.5" customHeight="1" x14ac:dyDescent="0.2">
      <c r="A76" s="795" t="s">
        <v>841</v>
      </c>
      <c r="B76" s="796"/>
      <c r="C76" s="796"/>
      <c r="D76" s="796"/>
      <c r="E76" s="796"/>
    </row>
    <row r="77" spans="1:5" x14ac:dyDescent="0.2">
      <c r="A77" s="515" t="s">
        <v>717</v>
      </c>
      <c r="B77" s="515" t="s">
        <v>755</v>
      </c>
      <c r="C77" s="515" t="s">
        <v>733</v>
      </c>
    </row>
    <row r="78" spans="1:5" x14ac:dyDescent="0.2">
      <c r="A78" s="516">
        <v>61601</v>
      </c>
      <c r="B78" s="515" t="s">
        <v>818</v>
      </c>
      <c r="C78" s="517">
        <v>44396.86</v>
      </c>
    </row>
    <row r="79" spans="1:5" x14ac:dyDescent="0.2">
      <c r="A79" s="516"/>
      <c r="B79" s="516"/>
      <c r="C79" s="516"/>
    </row>
    <row r="81" spans="1:6" x14ac:dyDescent="0.2">
      <c r="A81" s="21" t="s">
        <v>842</v>
      </c>
    </row>
    <row r="82" spans="1:6" ht="25.5" customHeight="1" x14ac:dyDescent="0.2">
      <c r="A82" s="795" t="s">
        <v>843</v>
      </c>
      <c r="B82" s="796"/>
      <c r="C82" s="796"/>
      <c r="D82" s="796"/>
      <c r="E82" s="796"/>
    </row>
    <row r="83" spans="1:6" x14ac:dyDescent="0.2">
      <c r="A83" s="515" t="s">
        <v>717</v>
      </c>
      <c r="B83" s="515" t="s">
        <v>755</v>
      </c>
      <c r="C83" s="515" t="s">
        <v>733</v>
      </c>
    </row>
    <row r="84" spans="1:6" x14ac:dyDescent="0.2">
      <c r="A84" s="516">
        <v>61601</v>
      </c>
      <c r="B84" s="515" t="s">
        <v>818</v>
      </c>
      <c r="C84" s="517">
        <v>25535.87</v>
      </c>
    </row>
    <row r="85" spans="1:6" x14ac:dyDescent="0.2">
      <c r="A85" s="516"/>
      <c r="B85" s="516"/>
      <c r="C85" s="516"/>
      <c r="D85" s="21" t="s">
        <v>880</v>
      </c>
      <c r="F85" s="540">
        <v>191427.6</v>
      </c>
    </row>
    <row r="87" spans="1:6" x14ac:dyDescent="0.2">
      <c r="A87" s="21" t="s">
        <v>786</v>
      </c>
    </row>
    <row r="88" spans="1:6" x14ac:dyDescent="0.2">
      <c r="A88" s="21" t="s">
        <v>844</v>
      </c>
    </row>
    <row r="89" spans="1:6" x14ac:dyDescent="0.2">
      <c r="A89" s="515" t="s">
        <v>717</v>
      </c>
      <c r="B89" s="515" t="s">
        <v>755</v>
      </c>
      <c r="C89" s="515" t="s">
        <v>733</v>
      </c>
    </row>
    <row r="90" spans="1:6" x14ac:dyDescent="0.2">
      <c r="A90" s="516">
        <v>61601</v>
      </c>
      <c r="B90" s="515" t="s">
        <v>818</v>
      </c>
      <c r="C90" s="517">
        <v>153881.06</v>
      </c>
    </row>
    <row r="91" spans="1:6" x14ac:dyDescent="0.2">
      <c r="A91" s="516"/>
      <c r="B91" s="516"/>
      <c r="C91" s="516"/>
    </row>
    <row r="93" spans="1:6" x14ac:dyDescent="0.2">
      <c r="A93" s="21" t="s">
        <v>793</v>
      </c>
    </row>
    <row r="94" spans="1:6" x14ac:dyDescent="0.2">
      <c r="A94" s="21" t="s">
        <v>845</v>
      </c>
    </row>
    <row r="95" spans="1:6" x14ac:dyDescent="0.2">
      <c r="A95" s="515" t="s">
        <v>717</v>
      </c>
      <c r="B95" s="515" t="s">
        <v>755</v>
      </c>
      <c r="C95" s="515" t="s">
        <v>733</v>
      </c>
    </row>
    <row r="96" spans="1:6" x14ac:dyDescent="0.2">
      <c r="A96" s="516">
        <v>61601</v>
      </c>
      <c r="B96" s="515" t="s">
        <v>818</v>
      </c>
      <c r="C96" s="517">
        <v>48497.89</v>
      </c>
    </row>
    <row r="97" spans="1:5" x14ac:dyDescent="0.2">
      <c r="A97" s="516"/>
      <c r="B97" s="516"/>
      <c r="C97" s="516"/>
    </row>
    <row r="99" spans="1:5" x14ac:dyDescent="0.2">
      <c r="A99" s="21" t="s">
        <v>795</v>
      </c>
    </row>
    <row r="100" spans="1:5" x14ac:dyDescent="0.2">
      <c r="A100" s="21" t="s">
        <v>846</v>
      </c>
    </row>
    <row r="101" spans="1:5" x14ac:dyDescent="0.2">
      <c r="A101" s="515" t="s">
        <v>717</v>
      </c>
      <c r="B101" s="515" t="s">
        <v>755</v>
      </c>
      <c r="C101" s="515" t="s">
        <v>733</v>
      </c>
    </row>
    <row r="102" spans="1:5" x14ac:dyDescent="0.2">
      <c r="A102" s="516">
        <v>61601</v>
      </c>
      <c r="B102" s="515" t="s">
        <v>818</v>
      </c>
      <c r="C102" s="517">
        <v>34318.67</v>
      </c>
    </row>
    <row r="103" spans="1:5" x14ac:dyDescent="0.2">
      <c r="A103" s="516"/>
      <c r="B103" s="516"/>
      <c r="C103" s="516"/>
    </row>
    <row r="105" spans="1:5" x14ac:dyDescent="0.2">
      <c r="A105" s="21" t="s">
        <v>847</v>
      </c>
    </row>
    <row r="106" spans="1:5" x14ac:dyDescent="0.2">
      <c r="A106" s="515" t="s">
        <v>717</v>
      </c>
      <c r="B106" s="515" t="s">
        <v>755</v>
      </c>
      <c r="C106" s="515" t="s">
        <v>733</v>
      </c>
    </row>
    <row r="107" spans="1:5" x14ac:dyDescent="0.2">
      <c r="A107" s="516">
        <v>61601</v>
      </c>
      <c r="B107" s="515" t="s">
        <v>818</v>
      </c>
      <c r="C107" s="517">
        <v>112150.55</v>
      </c>
    </row>
    <row r="108" spans="1:5" x14ac:dyDescent="0.2">
      <c r="A108" s="516"/>
      <c r="B108" s="516"/>
      <c r="C108" s="516"/>
    </row>
    <row r="110" spans="1:5" x14ac:dyDescent="0.2">
      <c r="A110" s="21" t="s">
        <v>798</v>
      </c>
    </row>
    <row r="111" spans="1:5" ht="25.5" customHeight="1" x14ac:dyDescent="0.2">
      <c r="A111" s="791" t="s">
        <v>848</v>
      </c>
      <c r="B111" s="791"/>
      <c r="C111" s="791"/>
      <c r="D111" s="791"/>
      <c r="E111" s="791"/>
    </row>
    <row r="112" spans="1:5" x14ac:dyDescent="0.2">
      <c r="A112" s="515" t="s">
        <v>717</v>
      </c>
      <c r="B112" s="515" t="s">
        <v>755</v>
      </c>
      <c r="C112" s="515" t="s">
        <v>733</v>
      </c>
    </row>
    <row r="113" spans="1:6" x14ac:dyDescent="0.2">
      <c r="A113" s="516">
        <v>61601</v>
      </c>
      <c r="B113" s="515" t="s">
        <v>818</v>
      </c>
      <c r="C113" s="517">
        <v>292447.32</v>
      </c>
    </row>
    <row r="114" spans="1:6" x14ac:dyDescent="0.2">
      <c r="A114" s="516"/>
      <c r="B114" s="516"/>
      <c r="C114" s="516"/>
      <c r="D114" s="21" t="s">
        <v>900</v>
      </c>
      <c r="F114" s="554">
        <f>C113+C107+C102+C96+C90</f>
        <v>641295.49</v>
      </c>
    </row>
    <row r="116" spans="1:6" ht="20.25" customHeight="1" x14ac:dyDescent="0.2">
      <c r="B116" s="21" t="s">
        <v>896</v>
      </c>
      <c r="C116" s="451">
        <v>8746.06</v>
      </c>
    </row>
    <row r="117" spans="1:6" ht="17.25" customHeight="1" x14ac:dyDescent="0.2">
      <c r="B117" s="553" t="s">
        <v>897</v>
      </c>
      <c r="C117" s="451">
        <v>34846.06</v>
      </c>
    </row>
    <row r="118" spans="1:6" ht="20.25" customHeight="1" x14ac:dyDescent="0.2">
      <c r="B118" s="553" t="s">
        <v>898</v>
      </c>
      <c r="C118" s="451">
        <v>922.28</v>
      </c>
    </row>
    <row r="119" spans="1:6" x14ac:dyDescent="0.2">
      <c r="C119" s="451"/>
    </row>
    <row r="120" spans="1:6" x14ac:dyDescent="0.2">
      <c r="C120" s="451">
        <f>SUM(C116:C119)</f>
        <v>44514.399999999994</v>
      </c>
      <c r="F120" s="451">
        <f>C120</f>
        <v>44514.399999999994</v>
      </c>
    </row>
    <row r="121" spans="1:6" x14ac:dyDescent="0.2">
      <c r="C121" s="451"/>
    </row>
    <row r="122" spans="1:6" x14ac:dyDescent="0.2">
      <c r="C122" s="451"/>
      <c r="F122" s="554">
        <f>F120+F85+F114</f>
        <v>877237.49</v>
      </c>
    </row>
  </sheetData>
  <mergeCells count="16">
    <mergeCell ref="A111:E111"/>
    <mergeCell ref="A28:E28"/>
    <mergeCell ref="A1:F1"/>
    <mergeCell ref="A3:E3"/>
    <mergeCell ref="A10:E10"/>
    <mergeCell ref="A16:E16"/>
    <mergeCell ref="A22:E22"/>
    <mergeCell ref="A34:E34"/>
    <mergeCell ref="A40:E40"/>
    <mergeCell ref="A46:E46"/>
    <mergeCell ref="A52:E52"/>
    <mergeCell ref="A58:E58"/>
    <mergeCell ref="A64:E64"/>
    <mergeCell ref="A70:E70"/>
    <mergeCell ref="A76:E76"/>
    <mergeCell ref="A82:E82"/>
  </mergeCells>
  <pageMargins left="0.70866141732283472" right="0.70866141732283472" top="1.18" bottom="0.74803149606299213" header="0.31496062992125984" footer="0.31496062992125984"/>
  <pageSetup paperSize="5" scale="97" orientation="portrait" r:id="rId1"/>
  <rowBreaks count="1" manualBreakCount="1">
    <brk id="62" max="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D39"/>
  <sheetViews>
    <sheetView view="pageBreakPreview" zoomScale="98" zoomScaleNormal="100" zoomScaleSheetLayoutView="98" workbookViewId="0">
      <selection activeCell="C25" sqref="C25"/>
    </sheetView>
  </sheetViews>
  <sheetFormatPr baseColWidth="10" defaultRowHeight="12.75" x14ac:dyDescent="0.2"/>
  <cols>
    <col min="2" max="2" width="15.85546875" customWidth="1"/>
    <col min="3" max="3" width="18.140625" customWidth="1"/>
  </cols>
  <sheetData>
    <row r="2" spans="1:4" x14ac:dyDescent="0.2">
      <c r="B2" s="797" t="s">
        <v>903</v>
      </c>
      <c r="C2" s="797"/>
      <c r="D2" s="797"/>
    </row>
    <row r="4" spans="1:4" x14ac:dyDescent="0.2">
      <c r="A4" s="21" t="s">
        <v>870</v>
      </c>
    </row>
    <row r="5" spans="1:4" x14ac:dyDescent="0.2">
      <c r="A5" s="21"/>
    </row>
    <row r="7" spans="1:4" x14ac:dyDescent="0.2">
      <c r="A7" s="516">
        <v>61601</v>
      </c>
      <c r="B7" s="515" t="s">
        <v>818</v>
      </c>
      <c r="C7" s="517">
        <v>346263.26</v>
      </c>
    </row>
    <row r="8" spans="1:4" x14ac:dyDescent="0.2">
      <c r="A8" s="516"/>
      <c r="B8" s="516"/>
      <c r="C8" s="516"/>
    </row>
    <row r="11" spans="1:4" x14ac:dyDescent="0.2">
      <c r="A11" s="21" t="s">
        <v>871</v>
      </c>
    </row>
    <row r="13" spans="1:4" x14ac:dyDescent="0.2">
      <c r="A13" s="516">
        <v>61601</v>
      </c>
      <c r="B13" s="515" t="s">
        <v>818</v>
      </c>
      <c r="C13" s="517">
        <v>327860.21000000002</v>
      </c>
    </row>
    <row r="14" spans="1:4" x14ac:dyDescent="0.2">
      <c r="A14" s="516"/>
      <c r="B14" s="516"/>
      <c r="C14" s="516"/>
    </row>
    <row r="17" spans="1:3" x14ac:dyDescent="0.2">
      <c r="A17" s="21" t="s">
        <v>872</v>
      </c>
    </row>
    <row r="19" spans="1:3" x14ac:dyDescent="0.2">
      <c r="A19" s="516">
        <v>61601</v>
      </c>
      <c r="B19" s="515" t="s">
        <v>818</v>
      </c>
      <c r="C19" s="517">
        <f>374526.76-1.42</f>
        <v>374525.34</v>
      </c>
    </row>
    <row r="20" spans="1:3" x14ac:dyDescent="0.2">
      <c r="A20" s="516"/>
      <c r="B20" s="516"/>
      <c r="C20" s="533"/>
    </row>
    <row r="23" spans="1:3" x14ac:dyDescent="0.2">
      <c r="A23" s="21" t="s">
        <v>890</v>
      </c>
    </row>
    <row r="25" spans="1:3" x14ac:dyDescent="0.2">
      <c r="A25" s="516">
        <v>61599</v>
      </c>
      <c r="B25" s="515" t="s">
        <v>889</v>
      </c>
      <c r="C25" s="517">
        <f>16169.61+15000</f>
        <v>31169.61</v>
      </c>
    </row>
    <row r="26" spans="1:3" x14ac:dyDescent="0.2">
      <c r="A26" s="516"/>
      <c r="B26" s="516"/>
      <c r="C26" s="533"/>
    </row>
    <row r="30" spans="1:3" x14ac:dyDescent="0.2">
      <c r="A30" s="21" t="s">
        <v>891</v>
      </c>
    </row>
    <row r="32" spans="1:3" x14ac:dyDescent="0.2">
      <c r="A32" s="516">
        <v>61601</v>
      </c>
      <c r="B32" s="515" t="s">
        <v>892</v>
      </c>
      <c r="C32" s="517">
        <f>35300+15000</f>
        <v>50300</v>
      </c>
    </row>
    <row r="33" spans="1:3" x14ac:dyDescent="0.2">
      <c r="A33" s="516"/>
      <c r="B33" s="516"/>
      <c r="C33" s="533"/>
    </row>
    <row r="38" spans="1:3" ht="13.5" thickBot="1" x14ac:dyDescent="0.25"/>
    <row r="39" spans="1:3" ht="18.75" customHeight="1" thickBot="1" x14ac:dyDescent="0.25">
      <c r="A39" s="798" t="s">
        <v>893</v>
      </c>
      <c r="B39" s="799"/>
      <c r="C39" s="551">
        <f>C32+C25+C19+C13+C7</f>
        <v>1130118.42</v>
      </c>
    </row>
  </sheetData>
  <mergeCells count="2">
    <mergeCell ref="B2:D2"/>
    <mergeCell ref="A39:B39"/>
  </mergeCells>
  <pageMargins left="0.70866141732283472" right="0.70866141732283472" top="2.63" bottom="0.74803149606299213" header="0.31496062992125984" footer="0.31496062992125984"/>
  <pageSetup paperSize="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C55"/>
  <sheetViews>
    <sheetView view="pageBreakPreview" topLeftCell="A16" zoomScaleNormal="100" zoomScaleSheetLayoutView="100" workbookViewId="0">
      <selection activeCell="C58" sqref="C58"/>
    </sheetView>
  </sheetViews>
  <sheetFormatPr baseColWidth="10" defaultRowHeight="12.75" x14ac:dyDescent="0.2"/>
  <cols>
    <col min="2" max="2" width="42.140625" customWidth="1"/>
    <col min="3" max="3" width="13" customWidth="1"/>
  </cols>
  <sheetData>
    <row r="2" spans="1:3" x14ac:dyDescent="0.2">
      <c r="A2" s="21" t="s">
        <v>874</v>
      </c>
    </row>
    <row r="4" spans="1:3" x14ac:dyDescent="0.2">
      <c r="A4" s="515" t="s">
        <v>717</v>
      </c>
      <c r="B4" s="515" t="s">
        <v>705</v>
      </c>
      <c r="C4" s="515" t="s">
        <v>733</v>
      </c>
    </row>
    <row r="5" spans="1:3" x14ac:dyDescent="0.2">
      <c r="A5" s="516">
        <v>51101</v>
      </c>
      <c r="B5" s="515" t="s">
        <v>763</v>
      </c>
      <c r="C5" s="517">
        <v>6000</v>
      </c>
    </row>
    <row r="6" spans="1:3" x14ac:dyDescent="0.2">
      <c r="A6" s="516">
        <v>51107</v>
      </c>
      <c r="B6" s="515" t="s">
        <v>712</v>
      </c>
      <c r="C6" s="517">
        <v>3000</v>
      </c>
    </row>
    <row r="7" spans="1:3" x14ac:dyDescent="0.2">
      <c r="A7" s="516">
        <v>54113</v>
      </c>
      <c r="B7" s="515" t="s">
        <v>873</v>
      </c>
      <c r="C7" s="517">
        <v>7118.09</v>
      </c>
    </row>
    <row r="8" spans="1:3" x14ac:dyDescent="0.2">
      <c r="A8" s="516"/>
      <c r="B8" s="515" t="s">
        <v>253</v>
      </c>
      <c r="C8" s="534">
        <f>SUM(C5:C7)</f>
        <v>16118.09</v>
      </c>
    </row>
    <row r="10" spans="1:3" x14ac:dyDescent="0.2">
      <c r="A10" s="21" t="s">
        <v>875</v>
      </c>
    </row>
    <row r="12" spans="1:3" x14ac:dyDescent="0.2">
      <c r="A12" s="515" t="s">
        <v>704</v>
      </c>
      <c r="B12" s="515" t="s">
        <v>705</v>
      </c>
      <c r="C12" s="515" t="s">
        <v>733</v>
      </c>
    </row>
    <row r="13" spans="1:3" x14ac:dyDescent="0.2">
      <c r="A13" s="516">
        <v>54111</v>
      </c>
      <c r="B13" s="515" t="s">
        <v>788</v>
      </c>
      <c r="C13" s="517">
        <v>15</v>
      </c>
    </row>
    <row r="14" spans="1:3" x14ac:dyDescent="0.2">
      <c r="A14" s="516">
        <v>54112</v>
      </c>
      <c r="B14" s="515" t="s">
        <v>805</v>
      </c>
      <c r="C14" s="517">
        <v>20</v>
      </c>
    </row>
    <row r="15" spans="1:3" x14ac:dyDescent="0.2">
      <c r="A15" s="516">
        <v>54118</v>
      </c>
      <c r="B15" s="515" t="s">
        <v>709</v>
      </c>
      <c r="C15" s="517">
        <v>27.05</v>
      </c>
    </row>
    <row r="16" spans="1:3" x14ac:dyDescent="0.2">
      <c r="A16" s="516"/>
      <c r="B16" s="515" t="s">
        <v>753</v>
      </c>
      <c r="C16" s="534">
        <f>SUM(C13:C15)</f>
        <v>62.05</v>
      </c>
    </row>
    <row r="18" spans="1:3" x14ac:dyDescent="0.2">
      <c r="A18" s="21" t="s">
        <v>876</v>
      </c>
    </row>
    <row r="19" spans="1:3" x14ac:dyDescent="0.2">
      <c r="A19" s="21"/>
      <c r="B19" s="21"/>
      <c r="C19" s="21"/>
    </row>
    <row r="20" spans="1:3" x14ac:dyDescent="0.2">
      <c r="A20" s="21" t="s">
        <v>717</v>
      </c>
      <c r="B20" s="21" t="s">
        <v>705</v>
      </c>
      <c r="C20" s="21" t="s">
        <v>733</v>
      </c>
    </row>
    <row r="21" spans="1:3" x14ac:dyDescent="0.2">
      <c r="A21" s="516">
        <v>54111</v>
      </c>
      <c r="B21" s="515" t="s">
        <v>788</v>
      </c>
      <c r="C21" s="517">
        <v>100000</v>
      </c>
    </row>
    <row r="22" spans="1:3" x14ac:dyDescent="0.2">
      <c r="A22" s="516">
        <v>54112</v>
      </c>
      <c r="B22" s="515" t="s">
        <v>805</v>
      </c>
      <c r="C22" s="517">
        <v>100000</v>
      </c>
    </row>
    <row r="23" spans="1:3" x14ac:dyDescent="0.2">
      <c r="A23" s="516">
        <v>54118</v>
      </c>
      <c r="B23" s="515" t="s">
        <v>709</v>
      </c>
      <c r="C23" s="517">
        <v>36088.550000000003</v>
      </c>
    </row>
    <row r="24" spans="1:3" x14ac:dyDescent="0.2">
      <c r="A24" s="516"/>
      <c r="B24" s="535" t="s">
        <v>253</v>
      </c>
      <c r="C24" s="534">
        <f>SUM(C21:C23)</f>
        <v>236088.55</v>
      </c>
    </row>
    <row r="26" spans="1:3" x14ac:dyDescent="0.2">
      <c r="B26" s="21" t="s">
        <v>877</v>
      </c>
      <c r="C26" s="536">
        <f>C8+C16+C24</f>
        <v>252268.69</v>
      </c>
    </row>
    <row r="29" spans="1:3" x14ac:dyDescent="0.2">
      <c r="A29" s="21" t="s">
        <v>878</v>
      </c>
    </row>
    <row r="31" spans="1:3" x14ac:dyDescent="0.2">
      <c r="A31" s="515" t="s">
        <v>717</v>
      </c>
      <c r="B31" s="515" t="s">
        <v>705</v>
      </c>
      <c r="C31" s="515" t="s">
        <v>733</v>
      </c>
    </row>
    <row r="32" spans="1:3" x14ac:dyDescent="0.2">
      <c r="A32" s="516">
        <v>51101</v>
      </c>
      <c r="B32" s="515" t="s">
        <v>763</v>
      </c>
      <c r="C32" s="517">
        <v>30000</v>
      </c>
    </row>
    <row r="33" spans="1:3" x14ac:dyDescent="0.2">
      <c r="A33" s="516">
        <v>51107</v>
      </c>
      <c r="B33" s="515" t="s">
        <v>712</v>
      </c>
      <c r="C33" s="517">
        <v>30000</v>
      </c>
    </row>
    <row r="34" spans="1:3" x14ac:dyDescent="0.2">
      <c r="A34" s="516">
        <v>54113</v>
      </c>
      <c r="B34" s="515" t="s">
        <v>873</v>
      </c>
      <c r="C34" s="517">
        <v>20711.98</v>
      </c>
    </row>
    <row r="35" spans="1:3" x14ac:dyDescent="0.2">
      <c r="A35" s="516"/>
      <c r="B35" s="515" t="s">
        <v>253</v>
      </c>
      <c r="C35" s="534">
        <f>SUM(C32:C34)</f>
        <v>80711.98</v>
      </c>
    </row>
    <row r="37" spans="1:3" x14ac:dyDescent="0.2">
      <c r="A37" s="21" t="s">
        <v>875</v>
      </c>
    </row>
    <row r="39" spans="1:3" x14ac:dyDescent="0.2">
      <c r="A39" s="515" t="s">
        <v>704</v>
      </c>
      <c r="B39" s="515" t="s">
        <v>705</v>
      </c>
      <c r="C39" s="515" t="s">
        <v>733</v>
      </c>
    </row>
    <row r="40" spans="1:3" x14ac:dyDescent="0.2">
      <c r="A40" s="516">
        <v>54111</v>
      </c>
      <c r="B40" s="515" t="s">
        <v>788</v>
      </c>
      <c r="C40" s="517">
        <v>1</v>
      </c>
    </row>
    <row r="41" spans="1:3" x14ac:dyDescent="0.2">
      <c r="A41" s="516">
        <v>54112</v>
      </c>
      <c r="B41" s="515" t="s">
        <v>805</v>
      </c>
      <c r="C41" s="517">
        <v>1</v>
      </c>
    </row>
    <row r="42" spans="1:3" x14ac:dyDescent="0.2">
      <c r="A42" s="516">
        <v>54118</v>
      </c>
      <c r="B42" s="515" t="s">
        <v>709</v>
      </c>
      <c r="C42" s="517">
        <v>1.59</v>
      </c>
    </row>
    <row r="43" spans="1:3" x14ac:dyDescent="0.2">
      <c r="A43" s="516"/>
      <c r="B43" s="515" t="s">
        <v>753</v>
      </c>
      <c r="C43" s="534">
        <f>SUM(C40:C42)</f>
        <v>3.59</v>
      </c>
    </row>
    <row r="45" spans="1:3" x14ac:dyDescent="0.2">
      <c r="A45" s="21" t="s">
        <v>876</v>
      </c>
    </row>
    <row r="46" spans="1:3" x14ac:dyDescent="0.2">
      <c r="A46" s="21"/>
      <c r="B46" s="21"/>
      <c r="C46" s="21"/>
    </row>
    <row r="47" spans="1:3" x14ac:dyDescent="0.2">
      <c r="A47" s="21" t="s">
        <v>717</v>
      </c>
      <c r="B47" s="21" t="s">
        <v>705</v>
      </c>
      <c r="C47" s="21" t="s">
        <v>733</v>
      </c>
    </row>
    <row r="48" spans="1:3" x14ac:dyDescent="0.2">
      <c r="A48" s="516">
        <v>54111</v>
      </c>
      <c r="B48" s="515" t="s">
        <v>788</v>
      </c>
      <c r="C48" s="517">
        <v>100000</v>
      </c>
    </row>
    <row r="49" spans="1:3" x14ac:dyDescent="0.2">
      <c r="A49" s="516">
        <v>54112</v>
      </c>
      <c r="B49" s="515" t="s">
        <v>805</v>
      </c>
      <c r="C49" s="517">
        <v>100000</v>
      </c>
    </row>
    <row r="50" spans="1:3" x14ac:dyDescent="0.2">
      <c r="A50" s="516">
        <v>54118</v>
      </c>
      <c r="B50" s="515" t="s">
        <v>709</v>
      </c>
      <c r="C50" s="517">
        <v>144511.20000000001</v>
      </c>
    </row>
    <row r="51" spans="1:3" x14ac:dyDescent="0.2">
      <c r="A51" s="516"/>
      <c r="B51" s="535" t="s">
        <v>253</v>
      </c>
      <c r="C51" s="534">
        <f>SUM(C48:C50)</f>
        <v>344511.2</v>
      </c>
    </row>
    <row r="53" spans="1:3" x14ac:dyDescent="0.2">
      <c r="B53" s="21" t="s">
        <v>879</v>
      </c>
      <c r="C53" s="536">
        <f>C35+C43+C51</f>
        <v>425226.77</v>
      </c>
    </row>
    <row r="55" spans="1:3" x14ac:dyDescent="0.2">
      <c r="B55" s="21" t="s">
        <v>901</v>
      </c>
      <c r="C55" s="536">
        <f>C26+C53</f>
        <v>677495.46</v>
      </c>
    </row>
  </sheetData>
  <pageMargins left="0.7" right="0.7" top="1.64" bottom="0.75" header="0.3" footer="0.3"/>
  <pageSetup paperSize="5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view="pageBreakPreview" topLeftCell="A21" zoomScale="124" zoomScaleNormal="85" zoomScaleSheetLayoutView="124" workbookViewId="0">
      <selection activeCell="D19" sqref="D19"/>
    </sheetView>
  </sheetViews>
  <sheetFormatPr baseColWidth="10" defaultColWidth="18.7109375" defaultRowHeight="12.75" x14ac:dyDescent="0.2"/>
  <cols>
    <col min="1" max="1" width="16.42578125" style="42" customWidth="1"/>
    <col min="2" max="2" width="40.140625" style="42" customWidth="1"/>
    <col min="3" max="3" width="23.5703125" style="42" customWidth="1"/>
    <col min="4" max="16384" width="18.7109375" style="42"/>
  </cols>
  <sheetData>
    <row r="1" spans="1:5" ht="26.25" customHeight="1" x14ac:dyDescent="0.2">
      <c r="A1" s="576" t="s">
        <v>380</v>
      </c>
      <c r="B1" s="576"/>
      <c r="C1" s="576"/>
      <c r="D1" s="41"/>
      <c r="E1" s="41"/>
    </row>
    <row r="2" spans="1:5" ht="24.75" customHeight="1" x14ac:dyDescent="0.2">
      <c r="A2" s="576" t="s">
        <v>372</v>
      </c>
      <c r="B2" s="576"/>
      <c r="C2" s="576"/>
      <c r="D2" s="43"/>
      <c r="E2" s="43"/>
    </row>
    <row r="3" spans="1:5" ht="24" customHeight="1" x14ac:dyDescent="0.2">
      <c r="A3" s="575" t="s">
        <v>638</v>
      </c>
      <c r="B3" s="575"/>
      <c r="C3" s="575"/>
      <c r="D3" s="44"/>
      <c r="E3" s="44"/>
    </row>
    <row r="4" spans="1:5" ht="26.25" customHeight="1" x14ac:dyDescent="0.2">
      <c r="A4" s="575" t="s">
        <v>135</v>
      </c>
      <c r="B4" s="575"/>
      <c r="C4" s="575"/>
      <c r="D4" s="44"/>
      <c r="E4" s="44"/>
    </row>
    <row r="5" spans="1:5" ht="10.15" customHeight="1" thickBot="1" x14ac:dyDescent="0.25">
      <c r="A5" s="234"/>
      <c r="B5" s="234"/>
      <c r="C5" s="234"/>
      <c r="D5" s="44"/>
      <c r="E5" s="44"/>
    </row>
    <row r="6" spans="1:5" s="45" customFormat="1" ht="37.5" customHeight="1" thickBot="1" x14ac:dyDescent="0.25">
      <c r="A6" s="340" t="s">
        <v>127</v>
      </c>
      <c r="B6" s="388" t="s">
        <v>96</v>
      </c>
      <c r="C6" s="388" t="s">
        <v>128</v>
      </c>
      <c r="D6" s="40"/>
      <c r="E6" s="40"/>
    </row>
    <row r="7" spans="1:5" s="46" customFormat="1" ht="24.95" customHeight="1" x14ac:dyDescent="0.2">
      <c r="A7" s="284">
        <v>11</v>
      </c>
      <c r="B7" s="285" t="s">
        <v>129</v>
      </c>
      <c r="C7" s="286">
        <f>+Ingresos!C9</f>
        <v>118169.95000000001</v>
      </c>
    </row>
    <row r="8" spans="1:5" s="46" customFormat="1" ht="24.95" customHeight="1" x14ac:dyDescent="0.2">
      <c r="A8" s="287">
        <v>12</v>
      </c>
      <c r="B8" s="288" t="s">
        <v>130</v>
      </c>
      <c r="C8" s="289">
        <f>+Ingresos!J20</f>
        <v>262328.36</v>
      </c>
    </row>
    <row r="9" spans="1:5" s="46" customFormat="1" ht="24.95" customHeight="1" x14ac:dyDescent="0.2">
      <c r="A9" s="287">
        <v>14</v>
      </c>
      <c r="B9" s="288" t="s">
        <v>131</v>
      </c>
      <c r="C9" s="289">
        <f>+Ingresos!J40</f>
        <v>2747.85</v>
      </c>
    </row>
    <row r="10" spans="1:5" s="46" customFormat="1" ht="24.95" customHeight="1" x14ac:dyDescent="0.2">
      <c r="A10" s="287">
        <v>15</v>
      </c>
      <c r="B10" s="288" t="s">
        <v>132</v>
      </c>
      <c r="C10" s="289">
        <f>+Ingresos!J44</f>
        <v>13399.9</v>
      </c>
    </row>
    <row r="11" spans="1:5" s="46" customFormat="1" ht="30" customHeight="1" x14ac:dyDescent="0.2">
      <c r="A11" s="287">
        <v>16</v>
      </c>
      <c r="B11" s="288" t="s">
        <v>582</v>
      </c>
      <c r="C11" s="289">
        <f>+Ingresos!J57</f>
        <v>710743.91</v>
      </c>
    </row>
    <row r="12" spans="1:5" s="46" customFormat="1" ht="30.75" customHeight="1" x14ac:dyDescent="0.2">
      <c r="A12" s="287">
        <v>22</v>
      </c>
      <c r="B12" s="288" t="s">
        <v>583</v>
      </c>
      <c r="C12" s="289">
        <f>Ingresos!E60</f>
        <v>2132231.84</v>
      </c>
    </row>
    <row r="13" spans="1:5" s="46" customFormat="1" ht="24.95" customHeight="1" x14ac:dyDescent="0.2">
      <c r="A13" s="287">
        <v>22</v>
      </c>
      <c r="B13" s="288" t="s">
        <v>581</v>
      </c>
      <c r="C13" s="289">
        <f>Ingresos!F60</f>
        <v>710744.07</v>
      </c>
    </row>
    <row r="14" spans="1:5" s="46" customFormat="1" ht="24.95" customHeight="1" x14ac:dyDescent="0.2">
      <c r="A14" s="290">
        <v>22</v>
      </c>
      <c r="B14" s="291" t="s">
        <v>815</v>
      </c>
      <c r="C14" s="292">
        <f>Ingresos!J64</f>
        <v>7366.45</v>
      </c>
    </row>
    <row r="15" spans="1:5" s="46" customFormat="1" ht="24.95" customHeight="1" thickBot="1" x14ac:dyDescent="0.25">
      <c r="A15" s="290">
        <v>32</v>
      </c>
      <c r="B15" s="291" t="s">
        <v>857</v>
      </c>
      <c r="C15" s="292">
        <f>+Ingresos!J69</f>
        <v>2663902.3110000002</v>
      </c>
    </row>
    <row r="16" spans="1:5" s="46" customFormat="1" ht="24.95" customHeight="1" thickBot="1" x14ac:dyDescent="0.25">
      <c r="A16" s="573" t="s">
        <v>136</v>
      </c>
      <c r="B16" s="574"/>
      <c r="C16" s="389">
        <f>SUM(C7:C15)</f>
        <v>6621634.6409999998</v>
      </c>
    </row>
    <row r="17" spans="1:4" s="46" customFormat="1" ht="10.15" customHeight="1" x14ac:dyDescent="0.2">
      <c r="A17" s="283"/>
      <c r="B17" s="283"/>
      <c r="C17" s="83"/>
    </row>
    <row r="18" spans="1:4" s="46" customFormat="1" ht="26.25" customHeight="1" thickBot="1" x14ac:dyDescent="0.25">
      <c r="A18" s="577" t="s">
        <v>138</v>
      </c>
      <c r="B18" s="577"/>
      <c r="C18" s="577"/>
    </row>
    <row r="19" spans="1:4" s="46" customFormat="1" ht="37.5" customHeight="1" thickBot="1" x14ac:dyDescent="0.25">
      <c r="A19" s="340" t="s">
        <v>127</v>
      </c>
      <c r="B19" s="340" t="s">
        <v>96</v>
      </c>
      <c r="C19" s="388" t="s">
        <v>128</v>
      </c>
    </row>
    <row r="20" spans="1:4" s="46" customFormat="1" ht="24.95" customHeight="1" x14ac:dyDescent="0.2">
      <c r="A20" s="284">
        <v>51</v>
      </c>
      <c r="B20" s="285" t="s">
        <v>139</v>
      </c>
      <c r="C20" s="286">
        <f>+Egresos!K9</f>
        <v>885942.46000000008</v>
      </c>
    </row>
    <row r="21" spans="1:4" s="46" customFormat="1" ht="32.25" customHeight="1" x14ac:dyDescent="0.2">
      <c r="A21" s="287">
        <v>54</v>
      </c>
      <c r="B21" s="288" t="s">
        <v>140</v>
      </c>
      <c r="C21" s="289">
        <f>+Egresos!K40</f>
        <v>1574622.67</v>
      </c>
    </row>
    <row r="22" spans="1:4" s="46" customFormat="1" ht="24.95" customHeight="1" x14ac:dyDescent="0.2">
      <c r="A22" s="287">
        <v>55</v>
      </c>
      <c r="B22" s="288" t="s">
        <v>141</v>
      </c>
      <c r="C22" s="289">
        <f>+Egresos!K105</f>
        <v>9660</v>
      </c>
    </row>
    <row r="23" spans="1:4" s="46" customFormat="1" ht="24.95" customHeight="1" x14ac:dyDescent="0.2">
      <c r="A23" s="287">
        <v>56</v>
      </c>
      <c r="B23" s="288" t="s">
        <v>134</v>
      </c>
      <c r="C23" s="289">
        <f>+Egresos!K114</f>
        <v>39757.4</v>
      </c>
      <c r="D23" s="83"/>
    </row>
    <row r="24" spans="1:4" s="46" customFormat="1" ht="24.95" customHeight="1" x14ac:dyDescent="0.2">
      <c r="A24" s="287">
        <v>61</v>
      </c>
      <c r="B24" s="288" t="s">
        <v>142</v>
      </c>
      <c r="C24" s="289">
        <f>+Egresos!K124</f>
        <v>2252721.44</v>
      </c>
    </row>
    <row r="25" spans="1:4" ht="24.95" customHeight="1" x14ac:dyDescent="0.2">
      <c r="A25" s="287">
        <v>62</v>
      </c>
      <c r="B25" s="288" t="s">
        <v>133</v>
      </c>
      <c r="C25" s="289">
        <f>+Egresos!K149</f>
        <v>0</v>
      </c>
    </row>
    <row r="26" spans="1:4" ht="36" customHeight="1" x14ac:dyDescent="0.2">
      <c r="A26" s="287">
        <v>71</v>
      </c>
      <c r="B26" s="288" t="s">
        <v>356</v>
      </c>
      <c r="C26" s="289"/>
    </row>
    <row r="27" spans="1:4" ht="36" customHeight="1" thickBot="1" x14ac:dyDescent="0.25">
      <c r="A27" s="290">
        <v>72</v>
      </c>
      <c r="B27" s="293" t="s">
        <v>612</v>
      </c>
      <c r="C27" s="294">
        <f>Egresos!K153</f>
        <v>1858930.67</v>
      </c>
    </row>
    <row r="28" spans="1:4" ht="24.95" customHeight="1" thickBot="1" x14ac:dyDescent="0.25">
      <c r="A28" s="573" t="s">
        <v>137</v>
      </c>
      <c r="B28" s="574"/>
      <c r="C28" s="389">
        <f>SUM(C20:C27)</f>
        <v>6621634.6399999997</v>
      </c>
    </row>
    <row r="29" spans="1:4" ht="18" customHeight="1" x14ac:dyDescent="0.2"/>
    <row r="30" spans="1:4" ht="18" customHeight="1" x14ac:dyDescent="0.2"/>
  </sheetData>
  <mergeCells count="7">
    <mergeCell ref="A28:B28"/>
    <mergeCell ref="A3:C3"/>
    <mergeCell ref="A1:C1"/>
    <mergeCell ref="A2:C2"/>
    <mergeCell ref="A4:C4"/>
    <mergeCell ref="A16:B16"/>
    <mergeCell ref="A18:C1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3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86"/>
  <sheetViews>
    <sheetView view="pageBreakPreview" zoomScale="95" zoomScaleNormal="100" zoomScaleSheetLayoutView="95" workbookViewId="0">
      <selection activeCell="A82" sqref="A82:H82"/>
    </sheetView>
  </sheetViews>
  <sheetFormatPr baseColWidth="10" defaultRowHeight="12.75" x14ac:dyDescent="0.2"/>
  <cols>
    <col min="1" max="1" width="8.140625" style="33" customWidth="1"/>
    <col min="2" max="2" width="31.140625" style="25" customWidth="1"/>
    <col min="3" max="3" width="13.5703125" style="25" customWidth="1"/>
    <col min="4" max="4" width="15.140625" style="25" customWidth="1"/>
    <col min="5" max="5" width="17" style="25" customWidth="1"/>
    <col min="6" max="7" width="14.5703125" style="25" customWidth="1"/>
    <col min="8" max="8" width="12.5703125" style="25" customWidth="1"/>
    <col min="9" max="9" width="12.42578125" style="25" customWidth="1"/>
    <col min="10" max="10" width="15.42578125" style="32" customWidth="1"/>
    <col min="11" max="11" width="11.42578125" style="26"/>
    <col min="12" max="12" width="16.85546875" style="26" bestFit="1" customWidth="1"/>
    <col min="13" max="13" width="13.7109375" style="26" bestFit="1" customWidth="1"/>
    <col min="14" max="16384" width="11.42578125" style="26"/>
  </cols>
  <sheetData>
    <row r="1" spans="1:10" ht="20.2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18" customHeight="1" x14ac:dyDescent="0.2">
      <c r="A2" s="576" t="s">
        <v>372</v>
      </c>
      <c r="B2" s="576"/>
      <c r="C2" s="576"/>
      <c r="D2" s="576"/>
      <c r="E2" s="576"/>
      <c r="F2" s="576"/>
      <c r="G2" s="576"/>
      <c r="H2" s="576"/>
      <c r="I2" s="576"/>
      <c r="J2" s="576"/>
    </row>
    <row r="3" spans="1:10" ht="15.75" x14ac:dyDescent="0.2">
      <c r="A3" s="584" t="s">
        <v>639</v>
      </c>
      <c r="B3" s="584"/>
      <c r="C3" s="584"/>
      <c r="D3" s="584"/>
      <c r="E3" s="584"/>
      <c r="F3" s="584"/>
      <c r="G3" s="584"/>
      <c r="H3" s="584"/>
      <c r="I3" s="584"/>
      <c r="J3" s="584"/>
    </row>
    <row r="4" spans="1:10" ht="15" x14ac:dyDescent="0.2">
      <c r="A4" s="580" t="s">
        <v>10</v>
      </c>
      <c r="B4" s="580"/>
      <c r="C4" s="580"/>
      <c r="D4" s="580"/>
      <c r="E4" s="580"/>
      <c r="F4" s="580"/>
      <c r="G4" s="580"/>
      <c r="H4" s="580"/>
      <c r="I4" s="580"/>
      <c r="J4" s="580"/>
    </row>
    <row r="5" spans="1:10" ht="16.5" thickBot="1" x14ac:dyDescent="0.25">
      <c r="A5" s="585" t="s">
        <v>14</v>
      </c>
      <c r="B5" s="586"/>
      <c r="C5" s="586"/>
      <c r="D5" s="586"/>
      <c r="E5" s="586"/>
      <c r="F5" s="586"/>
      <c r="G5" s="586"/>
      <c r="H5" s="586"/>
      <c r="I5" s="586"/>
      <c r="J5" s="586"/>
    </row>
    <row r="6" spans="1:10" ht="15.75" customHeight="1" thickBot="1" x14ac:dyDescent="0.25">
      <c r="A6" s="593" t="s">
        <v>99</v>
      </c>
      <c r="B6" s="587" t="s">
        <v>100</v>
      </c>
      <c r="C6" s="596" t="s">
        <v>591</v>
      </c>
      <c r="D6" s="597"/>
      <c r="E6" s="597"/>
      <c r="F6" s="598"/>
      <c r="G6" s="494"/>
      <c r="H6" s="581" t="s">
        <v>407</v>
      </c>
      <c r="I6" s="581" t="s">
        <v>700</v>
      </c>
      <c r="J6" s="590" t="s">
        <v>102</v>
      </c>
    </row>
    <row r="7" spans="1:10" ht="33" customHeight="1" thickBot="1" x14ac:dyDescent="0.25">
      <c r="A7" s="594"/>
      <c r="B7" s="588"/>
      <c r="C7" s="295" t="s">
        <v>376</v>
      </c>
      <c r="D7" s="599" t="s">
        <v>590</v>
      </c>
      <c r="E7" s="599"/>
      <c r="F7" s="600"/>
      <c r="G7" s="501" t="s">
        <v>811</v>
      </c>
      <c r="H7" s="582"/>
      <c r="I7" s="582"/>
      <c r="J7" s="591"/>
    </row>
    <row r="8" spans="1:10" s="27" customFormat="1" ht="104.25" customHeight="1" thickBot="1" x14ac:dyDescent="0.25">
      <c r="A8" s="595"/>
      <c r="B8" s="589"/>
      <c r="C8" s="296" t="s">
        <v>101</v>
      </c>
      <c r="D8" s="297" t="s">
        <v>332</v>
      </c>
      <c r="E8" s="298" t="s">
        <v>333</v>
      </c>
      <c r="F8" s="298" t="s">
        <v>589</v>
      </c>
      <c r="G8" s="493" t="s">
        <v>812</v>
      </c>
      <c r="H8" s="583"/>
      <c r="I8" s="583"/>
      <c r="J8" s="592"/>
    </row>
    <row r="9" spans="1:10" ht="15.75" customHeight="1" x14ac:dyDescent="0.2">
      <c r="A9" s="315">
        <v>11</v>
      </c>
      <c r="B9" s="316" t="s">
        <v>261</v>
      </c>
      <c r="C9" s="301">
        <f t="shared" ref="C9:J9" si="0">+C10</f>
        <v>118169.95000000001</v>
      </c>
      <c r="D9" s="400">
        <f t="shared" si="0"/>
        <v>0</v>
      </c>
      <c r="E9" s="400">
        <f t="shared" si="0"/>
        <v>0</v>
      </c>
      <c r="F9" s="400"/>
      <c r="G9" s="400"/>
      <c r="H9" s="400">
        <f t="shared" si="0"/>
        <v>0</v>
      </c>
      <c r="I9" s="400">
        <f t="shared" si="0"/>
        <v>0</v>
      </c>
      <c r="J9" s="301">
        <f t="shared" si="0"/>
        <v>118169.95000000001</v>
      </c>
    </row>
    <row r="10" spans="1:10" ht="15.75" customHeight="1" x14ac:dyDescent="0.2">
      <c r="A10" s="98">
        <v>118</v>
      </c>
      <c r="B10" s="113" t="s">
        <v>262</v>
      </c>
      <c r="C10" s="109">
        <f t="shared" ref="C10:J10" si="1">SUM(C11:C19)</f>
        <v>118169.95000000001</v>
      </c>
      <c r="D10" s="28">
        <f t="shared" si="1"/>
        <v>0</v>
      </c>
      <c r="E10" s="28">
        <f t="shared" si="1"/>
        <v>0</v>
      </c>
      <c r="F10" s="28"/>
      <c r="G10" s="28"/>
      <c r="H10" s="28">
        <f t="shared" si="1"/>
        <v>0</v>
      </c>
      <c r="I10" s="28">
        <f t="shared" si="1"/>
        <v>0</v>
      </c>
      <c r="J10" s="109">
        <f t="shared" si="1"/>
        <v>118169.95000000001</v>
      </c>
    </row>
    <row r="11" spans="1:10" ht="15.75" customHeight="1" x14ac:dyDescent="0.2">
      <c r="A11" s="112" t="s">
        <v>15</v>
      </c>
      <c r="B11" s="85" t="s">
        <v>16</v>
      </c>
      <c r="C11" s="126">
        <v>14836.12</v>
      </c>
      <c r="D11" s="100"/>
      <c r="E11" s="100"/>
      <c r="F11" s="100"/>
      <c r="G11" s="100"/>
      <c r="H11" s="100"/>
      <c r="I11" s="28"/>
      <c r="J11" s="109">
        <f t="shared" ref="J11:J19" si="2">SUM(C11:I11)</f>
        <v>14836.12</v>
      </c>
    </row>
    <row r="12" spans="1:10" ht="15.75" customHeight="1" x14ac:dyDescent="0.2">
      <c r="A12" s="112" t="s">
        <v>17</v>
      </c>
      <c r="B12" s="85" t="s">
        <v>18</v>
      </c>
      <c r="C12" s="126">
        <v>56972.09</v>
      </c>
      <c r="D12" s="100"/>
      <c r="E12" s="100"/>
      <c r="F12" s="100"/>
      <c r="G12" s="100"/>
      <c r="H12" s="100"/>
      <c r="I12" s="28"/>
      <c r="J12" s="109">
        <f t="shared" si="2"/>
        <v>56972.09</v>
      </c>
    </row>
    <row r="13" spans="1:10" ht="15.75" customHeight="1" x14ac:dyDescent="0.2">
      <c r="A13" s="112" t="s">
        <v>19</v>
      </c>
      <c r="B13" s="85" t="s">
        <v>20</v>
      </c>
      <c r="C13" s="126">
        <v>22608.13</v>
      </c>
      <c r="D13" s="100"/>
      <c r="E13" s="100"/>
      <c r="F13" s="100"/>
      <c r="G13" s="100"/>
      <c r="H13" s="100"/>
      <c r="I13" s="28"/>
      <c r="J13" s="109">
        <f t="shared" si="2"/>
        <v>22608.13</v>
      </c>
    </row>
    <row r="14" spans="1:10" ht="15.75" customHeight="1" x14ac:dyDescent="0.2">
      <c r="A14" s="110" t="s">
        <v>103</v>
      </c>
      <c r="B14" s="102" t="s">
        <v>104</v>
      </c>
      <c r="C14" s="100"/>
      <c r="D14" s="100"/>
      <c r="E14" s="100"/>
      <c r="F14" s="100"/>
      <c r="G14" s="100"/>
      <c r="H14" s="100"/>
      <c r="I14" s="28"/>
      <c r="J14" s="109">
        <f t="shared" si="2"/>
        <v>0</v>
      </c>
    </row>
    <row r="15" spans="1:10" ht="15.75" customHeight="1" x14ac:dyDescent="0.2">
      <c r="A15" s="112" t="s">
        <v>105</v>
      </c>
      <c r="B15" s="85" t="s">
        <v>107</v>
      </c>
      <c r="C15" s="100"/>
      <c r="D15" s="100"/>
      <c r="E15" s="100"/>
      <c r="F15" s="100"/>
      <c r="G15" s="100"/>
      <c r="H15" s="100"/>
      <c r="I15" s="28"/>
      <c r="J15" s="109">
        <f t="shared" si="2"/>
        <v>0</v>
      </c>
    </row>
    <row r="16" spans="1:10" ht="15.75" customHeight="1" x14ac:dyDescent="0.2">
      <c r="A16" s="112">
        <v>11816</v>
      </c>
      <c r="B16" s="85" t="s">
        <v>412</v>
      </c>
      <c r="C16" s="126">
        <v>11185.07</v>
      </c>
      <c r="D16" s="100"/>
      <c r="E16" s="100"/>
      <c r="F16" s="100"/>
      <c r="G16" s="100"/>
      <c r="H16" s="100"/>
      <c r="I16" s="28"/>
      <c r="J16" s="109">
        <f t="shared" si="2"/>
        <v>11185.07</v>
      </c>
    </row>
    <row r="17" spans="1:10" ht="15.75" customHeight="1" x14ac:dyDescent="0.2">
      <c r="A17" s="110" t="s">
        <v>106</v>
      </c>
      <c r="B17" s="102" t="s">
        <v>108</v>
      </c>
      <c r="C17" s="126">
        <v>8114.87</v>
      </c>
      <c r="D17" s="100"/>
      <c r="E17" s="100"/>
      <c r="F17" s="100"/>
      <c r="G17" s="100"/>
      <c r="H17" s="100"/>
      <c r="I17" s="28"/>
      <c r="J17" s="109">
        <f t="shared" si="2"/>
        <v>8114.87</v>
      </c>
    </row>
    <row r="18" spans="1:10" ht="15.75" customHeight="1" x14ac:dyDescent="0.2">
      <c r="A18" s="111">
        <v>11818</v>
      </c>
      <c r="B18" s="85" t="s">
        <v>58</v>
      </c>
      <c r="C18" s="126">
        <v>4451.57</v>
      </c>
      <c r="D18" s="100"/>
      <c r="E18" s="100"/>
      <c r="F18" s="100"/>
      <c r="G18" s="100"/>
      <c r="H18" s="100"/>
      <c r="I18" s="28"/>
      <c r="J18" s="109">
        <f t="shared" si="2"/>
        <v>4451.57</v>
      </c>
    </row>
    <row r="19" spans="1:10" ht="15.75" customHeight="1" x14ac:dyDescent="0.2">
      <c r="A19" s="110" t="s">
        <v>90</v>
      </c>
      <c r="B19" s="102" t="s">
        <v>109</v>
      </c>
      <c r="C19" s="126">
        <v>2.1</v>
      </c>
      <c r="D19" s="100"/>
      <c r="E19" s="100"/>
      <c r="F19" s="100"/>
      <c r="G19" s="100"/>
      <c r="H19" s="100"/>
      <c r="I19" s="28"/>
      <c r="J19" s="109">
        <f t="shared" si="2"/>
        <v>2.1</v>
      </c>
    </row>
    <row r="20" spans="1:10" ht="15.75" customHeight="1" x14ac:dyDescent="0.2">
      <c r="A20" s="393">
        <v>12</v>
      </c>
      <c r="B20" s="394" t="s">
        <v>263</v>
      </c>
      <c r="C20" s="395">
        <f>+C21+C36</f>
        <v>262328.36</v>
      </c>
      <c r="D20" s="401">
        <f>+D21+D36</f>
        <v>0</v>
      </c>
      <c r="E20" s="401">
        <f>+E21+E36</f>
        <v>0</v>
      </c>
      <c r="F20" s="401"/>
      <c r="G20" s="401"/>
      <c r="H20" s="401">
        <f>+H21+H36</f>
        <v>0</v>
      </c>
      <c r="I20" s="401">
        <f>+I21+I36</f>
        <v>0</v>
      </c>
      <c r="J20" s="395">
        <f>+J21+J36</f>
        <v>262328.36</v>
      </c>
    </row>
    <row r="21" spans="1:10" ht="15.75" customHeight="1" x14ac:dyDescent="0.2">
      <c r="A21" s="99">
        <v>121</v>
      </c>
      <c r="B21" s="114" t="s">
        <v>264</v>
      </c>
      <c r="C21" s="108">
        <f t="shared" ref="C21:J21" si="3">SUM(C22:C35)</f>
        <v>257830.31999999998</v>
      </c>
      <c r="D21" s="100">
        <f t="shared" si="3"/>
        <v>0</v>
      </c>
      <c r="E21" s="100">
        <f t="shared" si="3"/>
        <v>0</v>
      </c>
      <c r="F21" s="100"/>
      <c r="G21" s="100"/>
      <c r="H21" s="100">
        <f t="shared" si="3"/>
        <v>0</v>
      </c>
      <c r="I21" s="100">
        <f t="shared" si="3"/>
        <v>0</v>
      </c>
      <c r="J21" s="108">
        <f t="shared" si="3"/>
        <v>257830.31999999998</v>
      </c>
    </row>
    <row r="22" spans="1:10" ht="26.25" customHeight="1" x14ac:dyDescent="0.2">
      <c r="A22" s="111">
        <v>12105</v>
      </c>
      <c r="B22" s="85" t="s">
        <v>205</v>
      </c>
      <c r="C22" s="126">
        <v>30190.63</v>
      </c>
      <c r="D22" s="100"/>
      <c r="E22" s="100"/>
      <c r="F22" s="100"/>
      <c r="G22" s="100"/>
      <c r="H22" s="100"/>
      <c r="I22" s="28"/>
      <c r="J22" s="109">
        <f t="shared" ref="J22:J35" si="4">SUM(C22:I22)</f>
        <v>30190.63</v>
      </c>
    </row>
    <row r="23" spans="1:10" ht="24" customHeight="1" x14ac:dyDescent="0.2">
      <c r="A23" s="111">
        <v>12106</v>
      </c>
      <c r="B23" s="85" t="s">
        <v>206</v>
      </c>
      <c r="C23" s="126">
        <v>544.74</v>
      </c>
      <c r="D23" s="100"/>
      <c r="E23" s="100"/>
      <c r="F23" s="100"/>
      <c r="G23" s="100"/>
      <c r="H23" s="100"/>
      <c r="I23" s="28"/>
      <c r="J23" s="109">
        <f t="shared" si="4"/>
        <v>544.74</v>
      </c>
    </row>
    <row r="24" spans="1:10" ht="15.75" customHeight="1" x14ac:dyDescent="0.2">
      <c r="A24" s="111">
        <v>12108</v>
      </c>
      <c r="B24" s="85" t="s">
        <v>23</v>
      </c>
      <c r="C24" s="126">
        <v>13209.64</v>
      </c>
      <c r="D24" s="100"/>
      <c r="E24" s="100"/>
      <c r="F24" s="100"/>
      <c r="G24" s="100"/>
      <c r="H24" s="100"/>
      <c r="I24" s="28"/>
      <c r="J24" s="109">
        <f t="shared" si="4"/>
        <v>13209.64</v>
      </c>
    </row>
    <row r="25" spans="1:10" ht="15.75" customHeight="1" x14ac:dyDescent="0.2">
      <c r="A25" s="110" t="s">
        <v>21</v>
      </c>
      <c r="B25" s="102" t="s">
        <v>22</v>
      </c>
      <c r="C25" s="126">
        <v>35151.1</v>
      </c>
      <c r="D25" s="100"/>
      <c r="E25" s="100"/>
      <c r="F25" s="100"/>
      <c r="G25" s="100"/>
      <c r="H25" s="100"/>
      <c r="I25" s="28"/>
      <c r="J25" s="109">
        <f t="shared" si="4"/>
        <v>35151.1</v>
      </c>
    </row>
    <row r="26" spans="1:10" ht="15.75" customHeight="1" x14ac:dyDescent="0.2">
      <c r="A26" s="110">
        <v>12110</v>
      </c>
      <c r="B26" s="102" t="s">
        <v>413</v>
      </c>
      <c r="C26" s="126">
        <v>114.15</v>
      </c>
      <c r="D26" s="100"/>
      <c r="E26" s="100"/>
      <c r="F26" s="100"/>
      <c r="G26" s="100"/>
      <c r="H26" s="100"/>
      <c r="I26" s="28"/>
      <c r="J26" s="109">
        <f t="shared" si="4"/>
        <v>114.15</v>
      </c>
    </row>
    <row r="27" spans="1:10" ht="15.75" customHeight="1" x14ac:dyDescent="0.2">
      <c r="A27" s="110" t="s">
        <v>59</v>
      </c>
      <c r="B27" s="102" t="s">
        <v>60</v>
      </c>
      <c r="C27" s="126">
        <v>3405.43</v>
      </c>
      <c r="D27" s="100"/>
      <c r="E27" s="100"/>
      <c r="F27" s="100"/>
      <c r="G27" s="100"/>
      <c r="H27" s="100"/>
      <c r="I27" s="28"/>
      <c r="J27" s="109">
        <f t="shared" si="4"/>
        <v>3405.43</v>
      </c>
    </row>
    <row r="28" spans="1:10" ht="15.75" customHeight="1" x14ac:dyDescent="0.2">
      <c r="A28" s="110" t="s">
        <v>110</v>
      </c>
      <c r="B28" s="102" t="s">
        <v>111</v>
      </c>
      <c r="C28" s="100"/>
      <c r="D28" s="100"/>
      <c r="E28" s="100"/>
      <c r="F28" s="100"/>
      <c r="G28" s="100"/>
      <c r="H28" s="100"/>
      <c r="I28" s="28"/>
      <c r="J28" s="109">
        <f t="shared" si="4"/>
        <v>0</v>
      </c>
    </row>
    <row r="29" spans="1:10" ht="15.75" customHeight="1" x14ac:dyDescent="0.2">
      <c r="A29" s="110" t="s">
        <v>61</v>
      </c>
      <c r="B29" s="102" t="s">
        <v>334</v>
      </c>
      <c r="C29" s="126">
        <v>18209.939999999999</v>
      </c>
      <c r="D29" s="100"/>
      <c r="E29" s="100"/>
      <c r="F29" s="100"/>
      <c r="G29" s="100"/>
      <c r="H29" s="100"/>
      <c r="I29" s="28"/>
      <c r="J29" s="109">
        <f t="shared" si="4"/>
        <v>18209.939999999999</v>
      </c>
    </row>
    <row r="30" spans="1:10" ht="15.75" customHeight="1" x14ac:dyDescent="0.2">
      <c r="A30" s="110" t="s">
        <v>112</v>
      </c>
      <c r="B30" s="102" t="s">
        <v>113</v>
      </c>
      <c r="C30" s="126">
        <v>585.07000000000005</v>
      </c>
      <c r="D30" s="100"/>
      <c r="E30" s="100"/>
      <c r="F30" s="100"/>
      <c r="G30" s="100"/>
      <c r="H30" s="100"/>
      <c r="I30" s="28"/>
      <c r="J30" s="109">
        <f t="shared" si="4"/>
        <v>585.07000000000005</v>
      </c>
    </row>
    <row r="31" spans="1:10" ht="15.75" customHeight="1" x14ac:dyDescent="0.2">
      <c r="A31" s="110" t="s">
        <v>62</v>
      </c>
      <c r="B31" s="102" t="s">
        <v>63</v>
      </c>
      <c r="C31" s="126">
        <v>6045.23</v>
      </c>
      <c r="D31" s="100"/>
      <c r="E31" s="100"/>
      <c r="F31" s="100"/>
      <c r="G31" s="100"/>
      <c r="H31" s="100"/>
      <c r="I31" s="28"/>
      <c r="J31" s="109">
        <f t="shared" si="4"/>
        <v>6045.23</v>
      </c>
    </row>
    <row r="32" spans="1:10" ht="15.75" customHeight="1" x14ac:dyDescent="0.2">
      <c r="A32" s="110" t="s">
        <v>64</v>
      </c>
      <c r="B32" s="102" t="s">
        <v>65</v>
      </c>
      <c r="C32" s="126">
        <v>150043.98000000001</v>
      </c>
      <c r="D32" s="100"/>
      <c r="E32" s="100"/>
      <c r="F32" s="100"/>
      <c r="G32" s="100"/>
      <c r="H32" s="100"/>
      <c r="I32" s="28"/>
      <c r="J32" s="109">
        <f t="shared" si="4"/>
        <v>150043.98000000001</v>
      </c>
    </row>
    <row r="33" spans="1:10" ht="15.75" customHeight="1" x14ac:dyDescent="0.2">
      <c r="A33" s="110" t="s">
        <v>66</v>
      </c>
      <c r="B33" s="102" t="s">
        <v>67</v>
      </c>
      <c r="C33" s="126">
        <v>94.83</v>
      </c>
      <c r="D33" s="100"/>
      <c r="E33" s="100"/>
      <c r="F33" s="100"/>
      <c r="G33" s="100"/>
      <c r="H33" s="100"/>
      <c r="I33" s="28"/>
      <c r="J33" s="109">
        <f t="shared" si="4"/>
        <v>94.83</v>
      </c>
    </row>
    <row r="34" spans="1:10" ht="15.75" customHeight="1" x14ac:dyDescent="0.2">
      <c r="A34" s="110">
        <v>12199</v>
      </c>
      <c r="B34" s="102" t="s">
        <v>660</v>
      </c>
      <c r="C34" s="126">
        <v>235.58</v>
      </c>
      <c r="D34" s="100"/>
      <c r="E34" s="100"/>
      <c r="F34" s="100"/>
      <c r="G34" s="100"/>
      <c r="H34" s="100"/>
      <c r="I34" s="28"/>
      <c r="J34" s="109">
        <f t="shared" si="4"/>
        <v>235.58</v>
      </c>
    </row>
    <row r="35" spans="1:10" ht="15.75" customHeight="1" x14ac:dyDescent="0.2">
      <c r="A35" s="110" t="s">
        <v>115</v>
      </c>
      <c r="B35" s="102" t="s">
        <v>116</v>
      </c>
      <c r="C35" s="100"/>
      <c r="D35" s="100"/>
      <c r="E35" s="100"/>
      <c r="F35" s="100"/>
      <c r="G35" s="100"/>
      <c r="H35" s="100"/>
      <c r="I35" s="28"/>
      <c r="J35" s="109">
        <f t="shared" si="4"/>
        <v>0</v>
      </c>
    </row>
    <row r="36" spans="1:10" ht="15.75" customHeight="1" x14ac:dyDescent="0.2">
      <c r="A36" s="101">
        <v>122</v>
      </c>
      <c r="B36" s="115" t="s">
        <v>81</v>
      </c>
      <c r="C36" s="410">
        <f>C37+C38+C39</f>
        <v>4498.04</v>
      </c>
      <c r="D36" s="100">
        <f t="shared" ref="D36:J36" si="5">SUM(D37:D39)</f>
        <v>0</v>
      </c>
      <c r="E36" s="100">
        <f t="shared" si="5"/>
        <v>0</v>
      </c>
      <c r="F36" s="100"/>
      <c r="G36" s="100"/>
      <c r="H36" s="100">
        <f t="shared" si="5"/>
        <v>0</v>
      </c>
      <c r="I36" s="100">
        <f t="shared" si="5"/>
        <v>0</v>
      </c>
      <c r="J36" s="108">
        <f t="shared" si="5"/>
        <v>4498.04</v>
      </c>
    </row>
    <row r="37" spans="1:10" ht="15.75" customHeight="1" x14ac:dyDescent="0.2">
      <c r="A37" s="110" t="s">
        <v>97</v>
      </c>
      <c r="B37" s="102" t="s">
        <v>114</v>
      </c>
      <c r="C37" s="126">
        <v>4376.3999999999996</v>
      </c>
      <c r="D37" s="100"/>
      <c r="E37" s="100"/>
      <c r="F37" s="100"/>
      <c r="G37" s="100"/>
      <c r="H37" s="100"/>
      <c r="I37" s="28"/>
      <c r="J37" s="109">
        <f>SUM(C37:I37)</f>
        <v>4376.3999999999996</v>
      </c>
    </row>
    <row r="38" spans="1:10" ht="15.75" customHeight="1" x14ac:dyDescent="0.2">
      <c r="A38" s="110" t="s">
        <v>24</v>
      </c>
      <c r="B38" s="102" t="s">
        <v>25</v>
      </c>
      <c r="C38" s="126">
        <v>89.97</v>
      </c>
      <c r="D38" s="100"/>
      <c r="E38" s="100"/>
      <c r="F38" s="100"/>
      <c r="G38" s="100"/>
      <c r="H38" s="100"/>
      <c r="I38" s="28"/>
      <c r="J38" s="109">
        <f>SUM(C38:I38)</f>
        <v>89.97</v>
      </c>
    </row>
    <row r="39" spans="1:10" ht="15.75" customHeight="1" x14ac:dyDescent="0.2">
      <c r="A39" s="110" t="s">
        <v>117</v>
      </c>
      <c r="B39" s="102" t="s">
        <v>118</v>
      </c>
      <c r="C39" s="126">
        <v>31.67</v>
      </c>
      <c r="D39" s="100"/>
      <c r="E39" s="100"/>
      <c r="F39" s="100"/>
      <c r="G39" s="100"/>
      <c r="H39" s="100"/>
      <c r="I39" s="28"/>
      <c r="J39" s="109">
        <f>SUM(C39:I39)</f>
        <v>31.67</v>
      </c>
    </row>
    <row r="40" spans="1:10" ht="15.75" customHeight="1" x14ac:dyDescent="0.2">
      <c r="A40" s="396">
        <v>14</v>
      </c>
      <c r="B40" s="397" t="s">
        <v>265</v>
      </c>
      <c r="C40" s="395">
        <f t="shared" ref="C40:J40" si="6">+C41</f>
        <v>2747.85</v>
      </c>
      <c r="D40" s="401">
        <f t="shared" si="6"/>
        <v>0</v>
      </c>
      <c r="E40" s="401">
        <f t="shared" si="6"/>
        <v>0</v>
      </c>
      <c r="F40" s="401"/>
      <c r="G40" s="401"/>
      <c r="H40" s="401">
        <f t="shared" si="6"/>
        <v>0</v>
      </c>
      <c r="I40" s="401">
        <f t="shared" si="6"/>
        <v>0</v>
      </c>
      <c r="J40" s="395">
        <f t="shared" si="6"/>
        <v>2747.85</v>
      </c>
    </row>
    <row r="41" spans="1:10" ht="15.75" customHeight="1" x14ac:dyDescent="0.2">
      <c r="A41" s="101">
        <v>142</v>
      </c>
      <c r="B41" s="115" t="s">
        <v>266</v>
      </c>
      <c r="C41" s="108">
        <f t="shared" ref="C41:J41" si="7">SUM(C42:C43)</f>
        <v>2747.85</v>
      </c>
      <c r="D41" s="100">
        <f t="shared" si="7"/>
        <v>0</v>
      </c>
      <c r="E41" s="100">
        <f t="shared" si="7"/>
        <v>0</v>
      </c>
      <c r="F41" s="100"/>
      <c r="G41" s="100"/>
      <c r="H41" s="100">
        <f t="shared" si="7"/>
        <v>0</v>
      </c>
      <c r="I41" s="100">
        <f t="shared" si="7"/>
        <v>0</v>
      </c>
      <c r="J41" s="108">
        <f t="shared" si="7"/>
        <v>2747.85</v>
      </c>
    </row>
    <row r="42" spans="1:10" ht="15.75" customHeight="1" x14ac:dyDescent="0.2">
      <c r="A42" s="110" t="s">
        <v>119</v>
      </c>
      <c r="B42" s="102" t="s">
        <v>120</v>
      </c>
      <c r="C42" s="126">
        <v>359.36</v>
      </c>
      <c r="D42" s="100"/>
      <c r="E42" s="100"/>
      <c r="F42" s="100"/>
      <c r="G42" s="100"/>
      <c r="H42" s="100"/>
      <c r="I42" s="28"/>
      <c r="J42" s="109">
        <f>SUM(C42:I42)</f>
        <v>359.36</v>
      </c>
    </row>
    <row r="43" spans="1:10" ht="15.75" customHeight="1" x14ac:dyDescent="0.2">
      <c r="A43" s="110" t="s">
        <v>26</v>
      </c>
      <c r="B43" s="102" t="s">
        <v>27</v>
      </c>
      <c r="C43" s="126">
        <v>2388.4899999999998</v>
      </c>
      <c r="D43" s="100"/>
      <c r="E43" s="100"/>
      <c r="F43" s="100"/>
      <c r="G43" s="100"/>
      <c r="H43" s="100"/>
      <c r="I43" s="28"/>
      <c r="J43" s="109">
        <f>SUM(C43:I43)</f>
        <v>2388.4899999999998</v>
      </c>
    </row>
    <row r="44" spans="1:10" ht="15.75" customHeight="1" x14ac:dyDescent="0.2">
      <c r="A44" s="396">
        <v>15</v>
      </c>
      <c r="B44" s="397" t="s">
        <v>267</v>
      </c>
      <c r="C44" s="395">
        <f>+C45+C47+C54</f>
        <v>13399.9</v>
      </c>
      <c r="D44" s="401">
        <f>+D45+D47+D54</f>
        <v>0</v>
      </c>
      <c r="E44" s="401">
        <f>+E45+E47+E54</f>
        <v>0</v>
      </c>
      <c r="F44" s="401"/>
      <c r="G44" s="401"/>
      <c r="H44" s="401">
        <f>+H45+H47+H54</f>
        <v>0</v>
      </c>
      <c r="I44" s="401">
        <f>+I45+I47+I54</f>
        <v>0</v>
      </c>
      <c r="J44" s="395">
        <f>+J45+J47+J54</f>
        <v>13399.9</v>
      </c>
    </row>
    <row r="45" spans="1:10" ht="15.75" customHeight="1" x14ac:dyDescent="0.2">
      <c r="A45" s="101">
        <v>151</v>
      </c>
      <c r="B45" s="115" t="s">
        <v>276</v>
      </c>
      <c r="C45" s="100">
        <f t="shared" ref="C45:J45" si="8">+C46</f>
        <v>0</v>
      </c>
      <c r="D45" s="100">
        <f t="shared" si="8"/>
        <v>0</v>
      </c>
      <c r="E45" s="100">
        <f t="shared" si="8"/>
        <v>0</v>
      </c>
      <c r="F45" s="100"/>
      <c r="G45" s="100"/>
      <c r="H45" s="100">
        <f t="shared" si="8"/>
        <v>0</v>
      </c>
      <c r="I45" s="100">
        <f t="shared" si="8"/>
        <v>0</v>
      </c>
      <c r="J45" s="108">
        <f t="shared" si="8"/>
        <v>0</v>
      </c>
    </row>
    <row r="46" spans="1:10" ht="15.75" customHeight="1" x14ac:dyDescent="0.2">
      <c r="A46" s="110">
        <v>15199</v>
      </c>
      <c r="B46" s="102" t="s">
        <v>277</v>
      </c>
      <c r="C46" s="100"/>
      <c r="D46" s="100"/>
      <c r="E46" s="100"/>
      <c r="F46" s="100"/>
      <c r="G46" s="100"/>
      <c r="H46" s="100"/>
      <c r="I46" s="28"/>
      <c r="J46" s="109">
        <f>SUM(C46:I46)</f>
        <v>0</v>
      </c>
    </row>
    <row r="47" spans="1:10" ht="15.75" customHeight="1" x14ac:dyDescent="0.2">
      <c r="A47" s="396">
        <v>153</v>
      </c>
      <c r="B47" s="397" t="s">
        <v>268</v>
      </c>
      <c r="C47" s="395">
        <f t="shared" ref="C47:J47" si="9">SUM(C49:C53)</f>
        <v>5855.3799999999992</v>
      </c>
      <c r="D47" s="401">
        <f t="shared" si="9"/>
        <v>0</v>
      </c>
      <c r="E47" s="401">
        <f t="shared" si="9"/>
        <v>0</v>
      </c>
      <c r="F47" s="401"/>
      <c r="G47" s="401"/>
      <c r="H47" s="401">
        <f t="shared" si="9"/>
        <v>0</v>
      </c>
      <c r="I47" s="401">
        <f t="shared" si="9"/>
        <v>0</v>
      </c>
      <c r="J47" s="395">
        <f t="shared" si="9"/>
        <v>5855.3799999999992</v>
      </c>
    </row>
    <row r="48" spans="1:10" ht="15.75" customHeight="1" x14ac:dyDescent="0.2">
      <c r="A48" s="110" t="s">
        <v>28</v>
      </c>
      <c r="B48" s="102" t="s">
        <v>29</v>
      </c>
      <c r="C48" s="100">
        <v>0</v>
      </c>
      <c r="D48" s="100"/>
      <c r="E48" s="100"/>
      <c r="F48" s="100"/>
      <c r="G48" s="100"/>
      <c r="H48" s="100"/>
      <c r="I48" s="28"/>
      <c r="J48" s="109">
        <f t="shared" ref="J48:J53" si="10">SUM(C48:I48)</f>
        <v>0</v>
      </c>
    </row>
    <row r="49" spans="1:10" x14ac:dyDescent="0.2">
      <c r="A49" s="110" t="s">
        <v>31</v>
      </c>
      <c r="B49" s="102" t="s">
        <v>30</v>
      </c>
      <c r="C49" s="126">
        <v>1303.17</v>
      </c>
      <c r="D49" s="100"/>
      <c r="E49" s="100"/>
      <c r="F49" s="100"/>
      <c r="G49" s="100"/>
      <c r="H49" s="100"/>
      <c r="I49" s="28"/>
      <c r="J49" s="109">
        <f t="shared" si="10"/>
        <v>1303.17</v>
      </c>
    </row>
    <row r="50" spans="1:10" x14ac:dyDescent="0.2">
      <c r="A50" s="110">
        <v>15312</v>
      </c>
      <c r="B50" s="102" t="s">
        <v>222</v>
      </c>
      <c r="C50" s="126">
        <v>352.21</v>
      </c>
      <c r="D50" s="100"/>
      <c r="E50" s="100"/>
      <c r="F50" s="100"/>
      <c r="G50" s="100"/>
      <c r="H50" s="100"/>
      <c r="I50" s="28"/>
      <c r="J50" s="109">
        <f t="shared" si="10"/>
        <v>352.21</v>
      </c>
    </row>
    <row r="51" spans="1:10" x14ac:dyDescent="0.2">
      <c r="A51" s="110">
        <v>15313</v>
      </c>
      <c r="B51" s="102" t="s">
        <v>414</v>
      </c>
      <c r="C51" s="126">
        <v>1215.1099999999999</v>
      </c>
      <c r="D51" s="100"/>
      <c r="E51" s="100"/>
      <c r="F51" s="100"/>
      <c r="G51" s="100"/>
      <c r="H51" s="100"/>
      <c r="I51" s="28"/>
      <c r="J51" s="109">
        <f t="shared" si="10"/>
        <v>1215.1099999999999</v>
      </c>
    </row>
    <row r="52" spans="1:10" x14ac:dyDescent="0.2">
      <c r="A52" s="110" t="s">
        <v>91</v>
      </c>
      <c r="B52" s="102" t="s">
        <v>92</v>
      </c>
      <c r="C52" s="409">
        <v>2984.89</v>
      </c>
      <c r="D52" s="100"/>
      <c r="E52" s="100"/>
      <c r="F52" s="100"/>
      <c r="G52" s="100"/>
      <c r="H52" s="100"/>
      <c r="I52" s="28"/>
      <c r="J52" s="109">
        <f t="shared" si="10"/>
        <v>2984.89</v>
      </c>
    </row>
    <row r="53" spans="1:10" x14ac:dyDescent="0.2">
      <c r="A53" s="106">
        <v>15399</v>
      </c>
      <c r="B53" s="105" t="s">
        <v>278</v>
      </c>
      <c r="C53" s="100"/>
      <c r="D53" s="100"/>
      <c r="E53" s="100"/>
      <c r="F53" s="100"/>
      <c r="G53" s="100"/>
      <c r="H53" s="100"/>
      <c r="I53" s="28"/>
      <c r="J53" s="109">
        <f t="shared" si="10"/>
        <v>0</v>
      </c>
    </row>
    <row r="54" spans="1:10" x14ac:dyDescent="0.2">
      <c r="A54" s="104">
        <v>157</v>
      </c>
      <c r="B54" s="107" t="s">
        <v>269</v>
      </c>
      <c r="C54" s="108">
        <f t="shared" ref="C54:J54" si="11">SUM(C55:C56)</f>
        <v>7544.52</v>
      </c>
      <c r="D54" s="100">
        <f t="shared" si="11"/>
        <v>0</v>
      </c>
      <c r="E54" s="100">
        <f t="shared" si="11"/>
        <v>0</v>
      </c>
      <c r="F54" s="100"/>
      <c r="G54" s="100"/>
      <c r="H54" s="100">
        <f t="shared" si="11"/>
        <v>0</v>
      </c>
      <c r="I54" s="100">
        <f t="shared" si="11"/>
        <v>0</v>
      </c>
      <c r="J54" s="108">
        <f t="shared" si="11"/>
        <v>7544.52</v>
      </c>
    </row>
    <row r="55" spans="1:10" x14ac:dyDescent="0.2">
      <c r="A55" s="106" t="s">
        <v>68</v>
      </c>
      <c r="B55" s="105" t="s">
        <v>415</v>
      </c>
      <c r="C55" s="126">
        <v>7040.84</v>
      </c>
      <c r="D55" s="100"/>
      <c r="E55" s="100"/>
      <c r="F55" s="100"/>
      <c r="G55" s="100"/>
      <c r="H55" s="100"/>
      <c r="I55" s="28"/>
      <c r="J55" s="109">
        <f>SUM(C55:I55)</f>
        <v>7040.84</v>
      </c>
    </row>
    <row r="56" spans="1:10" x14ac:dyDescent="0.2">
      <c r="A56" s="106" t="s">
        <v>69</v>
      </c>
      <c r="B56" s="105" t="s">
        <v>70</v>
      </c>
      <c r="C56" s="126">
        <v>503.68</v>
      </c>
      <c r="D56" s="100"/>
      <c r="E56" s="100"/>
      <c r="F56" s="100"/>
      <c r="G56" s="100"/>
      <c r="H56" s="100"/>
      <c r="I56" s="28">
        <v>0</v>
      </c>
      <c r="J56" s="109">
        <f>SUM(C56:I56)</f>
        <v>503.68</v>
      </c>
    </row>
    <row r="57" spans="1:10" x14ac:dyDescent="0.2">
      <c r="A57" s="398">
        <v>16</v>
      </c>
      <c r="B57" s="399" t="s">
        <v>270</v>
      </c>
      <c r="C57" s="401">
        <f>+C58</f>
        <v>0</v>
      </c>
      <c r="D57" s="395">
        <f t="shared" ref="D57:I58" si="12">+D58</f>
        <v>710743.91</v>
      </c>
      <c r="E57" s="401">
        <f t="shared" si="12"/>
        <v>0</v>
      </c>
      <c r="F57" s="401"/>
      <c r="G57" s="401"/>
      <c r="H57" s="401">
        <f t="shared" si="12"/>
        <v>0</v>
      </c>
      <c r="I57" s="401">
        <f t="shared" si="12"/>
        <v>0</v>
      </c>
      <c r="J57" s="395">
        <f>SUM(D57:I57)</f>
        <v>710743.91</v>
      </c>
    </row>
    <row r="58" spans="1:10" ht="25.5" x14ac:dyDescent="0.2">
      <c r="A58" s="104">
        <v>162</v>
      </c>
      <c r="B58" s="107" t="s">
        <v>279</v>
      </c>
      <c r="C58" s="100">
        <f>+C59</f>
        <v>0</v>
      </c>
      <c r="D58" s="100">
        <f t="shared" si="12"/>
        <v>710743.91</v>
      </c>
      <c r="E58" s="100">
        <f t="shared" si="12"/>
        <v>0</v>
      </c>
      <c r="F58" s="100"/>
      <c r="G58" s="100"/>
      <c r="H58" s="100">
        <f t="shared" si="12"/>
        <v>0</v>
      </c>
      <c r="I58" s="100">
        <f t="shared" si="12"/>
        <v>0</v>
      </c>
      <c r="J58" s="108"/>
    </row>
    <row r="59" spans="1:10" ht="25.5" x14ac:dyDescent="0.2">
      <c r="A59" s="110" t="s">
        <v>32</v>
      </c>
      <c r="B59" s="102" t="s">
        <v>810</v>
      </c>
      <c r="C59" s="100"/>
      <c r="D59" s="103">
        <v>710743.91</v>
      </c>
      <c r="E59" s="103"/>
      <c r="F59" s="103"/>
      <c r="G59" s="103"/>
      <c r="H59" s="103"/>
      <c r="I59" s="29"/>
      <c r="J59" s="109"/>
    </row>
    <row r="60" spans="1:10" x14ac:dyDescent="0.2">
      <c r="A60" s="398">
        <v>22</v>
      </c>
      <c r="B60" s="399" t="s">
        <v>271</v>
      </c>
      <c r="C60" s="401">
        <f t="shared" ref="C60:I60" si="13">+C61</f>
        <v>0</v>
      </c>
      <c r="D60" s="401">
        <f t="shared" si="13"/>
        <v>0</v>
      </c>
      <c r="E60" s="395">
        <f>E62</f>
        <v>2132231.84</v>
      </c>
      <c r="F60" s="395">
        <f>+F63</f>
        <v>710744.07</v>
      </c>
      <c r="G60" s="401"/>
      <c r="H60" s="401">
        <f t="shared" si="13"/>
        <v>0</v>
      </c>
      <c r="I60" s="401">
        <f t="shared" si="13"/>
        <v>7366.45</v>
      </c>
      <c r="J60" s="395">
        <f>SUM(C60:I60)</f>
        <v>2850342.36</v>
      </c>
    </row>
    <row r="61" spans="1:10" ht="25.5" x14ac:dyDescent="0.2">
      <c r="A61" s="104">
        <v>222</v>
      </c>
      <c r="B61" s="107" t="s">
        <v>272</v>
      </c>
      <c r="C61" s="100">
        <f t="shared" ref="C61:I61" si="14">SUM(C62:C64)</f>
        <v>0</v>
      </c>
      <c r="D61" s="100">
        <f t="shared" si="14"/>
        <v>0</v>
      </c>
      <c r="E61" s="100"/>
      <c r="F61" s="100"/>
      <c r="G61" s="100"/>
      <c r="H61" s="100">
        <f t="shared" si="14"/>
        <v>0</v>
      </c>
      <c r="I61" s="100">
        <f t="shared" si="14"/>
        <v>7366.45</v>
      </c>
      <c r="J61" s="108"/>
    </row>
    <row r="62" spans="1:10" ht="25.5" x14ac:dyDescent="0.2">
      <c r="A62" s="106" t="s">
        <v>33</v>
      </c>
      <c r="B62" s="105" t="s">
        <v>808</v>
      </c>
      <c r="C62" s="100"/>
      <c r="D62" s="100"/>
      <c r="E62" s="100">
        <v>2132231.84</v>
      </c>
      <c r="F62" s="100"/>
      <c r="G62" s="100"/>
      <c r="H62" s="100"/>
      <c r="I62" s="28"/>
      <c r="J62" s="109"/>
    </row>
    <row r="63" spans="1:10" ht="25.5" x14ac:dyDescent="0.2">
      <c r="A63" s="106">
        <v>22201</v>
      </c>
      <c r="B63" s="105" t="s">
        <v>809</v>
      </c>
      <c r="C63" s="100"/>
      <c r="D63" s="100"/>
      <c r="E63" s="100"/>
      <c r="F63" s="100">
        <v>710744.07</v>
      </c>
      <c r="G63" s="100"/>
      <c r="H63" s="100"/>
      <c r="I63" s="28"/>
      <c r="J63" s="109"/>
    </row>
    <row r="64" spans="1:10" ht="25.5" x14ac:dyDescent="0.2">
      <c r="A64" s="507">
        <v>2223106</v>
      </c>
      <c r="B64" s="105" t="s">
        <v>814</v>
      </c>
      <c r="C64" s="100"/>
      <c r="D64" s="100"/>
      <c r="E64" s="100"/>
      <c r="F64" s="100"/>
      <c r="G64" s="100"/>
      <c r="H64" s="100"/>
      <c r="I64" s="28">
        <v>7366.45</v>
      </c>
      <c r="J64" s="109">
        <f>SUM(C64:I64)</f>
        <v>7366.45</v>
      </c>
    </row>
    <row r="65" spans="1:13" x14ac:dyDescent="0.2">
      <c r="A65" s="398">
        <v>31</v>
      </c>
      <c r="B65" s="399" t="s">
        <v>273</v>
      </c>
      <c r="C65" s="401">
        <f t="shared" ref="C65:J65" si="15">+C66</f>
        <v>0</v>
      </c>
      <c r="D65" s="401">
        <f t="shared" si="15"/>
        <v>0</v>
      </c>
      <c r="E65" s="401">
        <f t="shared" si="15"/>
        <v>0</v>
      </c>
      <c r="F65" s="401"/>
      <c r="G65" s="401"/>
      <c r="H65" s="401">
        <f t="shared" si="15"/>
        <v>0</v>
      </c>
      <c r="I65" s="401">
        <f t="shared" si="15"/>
        <v>0</v>
      </c>
      <c r="J65" s="395">
        <f t="shared" si="15"/>
        <v>0</v>
      </c>
    </row>
    <row r="66" spans="1:13" x14ac:dyDescent="0.2">
      <c r="A66" s="104">
        <v>313</v>
      </c>
      <c r="B66" s="107" t="s">
        <v>656</v>
      </c>
      <c r="C66" s="100">
        <f t="shared" ref="C66:J66" si="16">SUM(C67:C68)</f>
        <v>0</v>
      </c>
      <c r="D66" s="100">
        <f t="shared" si="16"/>
        <v>0</v>
      </c>
      <c r="E66" s="100">
        <f t="shared" si="16"/>
        <v>0</v>
      </c>
      <c r="F66" s="100"/>
      <c r="G66" s="100"/>
      <c r="H66" s="100">
        <f t="shared" si="16"/>
        <v>0</v>
      </c>
      <c r="I66" s="100">
        <f t="shared" si="16"/>
        <v>0</v>
      </c>
      <c r="J66" s="108">
        <f t="shared" si="16"/>
        <v>0</v>
      </c>
    </row>
    <row r="67" spans="1:13" x14ac:dyDescent="0.2">
      <c r="A67" s="106" t="s">
        <v>143</v>
      </c>
      <c r="B67" s="105" t="s">
        <v>121</v>
      </c>
      <c r="C67" s="100"/>
      <c r="D67" s="100"/>
      <c r="E67" s="100"/>
      <c r="F67" s="100"/>
      <c r="G67" s="100"/>
      <c r="H67" s="100"/>
      <c r="I67" s="28"/>
      <c r="J67" s="109">
        <f>SUM(C67:I67)</f>
        <v>0</v>
      </c>
    </row>
    <row r="68" spans="1:13" x14ac:dyDescent="0.2">
      <c r="A68" s="106" t="s">
        <v>202</v>
      </c>
      <c r="B68" s="105" t="s">
        <v>203</v>
      </c>
      <c r="C68" s="100"/>
      <c r="D68" s="100"/>
      <c r="E68" s="100"/>
      <c r="F68" s="100"/>
      <c r="G68" s="100"/>
      <c r="H68" s="100"/>
      <c r="I68" s="28"/>
      <c r="J68" s="109">
        <f>SUM(C68:I68)</f>
        <v>0</v>
      </c>
    </row>
    <row r="69" spans="1:13" x14ac:dyDescent="0.2">
      <c r="A69" s="398">
        <v>32</v>
      </c>
      <c r="B69" s="399" t="s">
        <v>274</v>
      </c>
      <c r="C69" s="395">
        <f>+C70+C73</f>
        <v>39421.911</v>
      </c>
      <c r="D69" s="395">
        <f>+D70+D73</f>
        <v>371253.29</v>
      </c>
      <c r="E69" s="395">
        <f>+E70+E73</f>
        <v>1155103.33</v>
      </c>
      <c r="F69" s="395">
        <f>F72+F76</f>
        <v>419374.35000000003</v>
      </c>
      <c r="G69" s="395">
        <f>G72</f>
        <v>677495.46000000008</v>
      </c>
      <c r="H69" s="395">
        <f>H72</f>
        <v>1253.02</v>
      </c>
      <c r="I69" s="395">
        <f>+I70</f>
        <v>0.95</v>
      </c>
      <c r="J69" s="395">
        <f>+C69+D69+E69+H69+G69+F69+I69</f>
        <v>2663902.3110000002</v>
      </c>
    </row>
    <row r="70" spans="1:13" ht="25.5" x14ac:dyDescent="0.2">
      <c r="A70" s="104">
        <v>321</v>
      </c>
      <c r="B70" s="107" t="s">
        <v>275</v>
      </c>
      <c r="C70" s="100">
        <f>SUM(C71:C72)</f>
        <v>13982.36</v>
      </c>
      <c r="D70" s="100">
        <f>D72</f>
        <v>39.1</v>
      </c>
      <c r="E70" s="100">
        <f>E72</f>
        <v>41460.829999999994</v>
      </c>
      <c r="F70" s="108">
        <f>48624.84-2071.45</f>
        <v>46553.39</v>
      </c>
      <c r="G70" s="108">
        <f>257652.38+425226.77-5383.69</f>
        <v>677495.46000000008</v>
      </c>
      <c r="H70" s="108">
        <f>H72</f>
        <v>1253.02</v>
      </c>
      <c r="I70" s="100">
        <f>SUM(I71:I76)</f>
        <v>0.95</v>
      </c>
      <c r="J70" s="108"/>
    </row>
    <row r="71" spans="1:13" x14ac:dyDescent="0.2">
      <c r="A71" s="106" t="s">
        <v>198</v>
      </c>
      <c r="B71" s="105" t="s">
        <v>199</v>
      </c>
      <c r="C71" s="100"/>
      <c r="D71" s="100"/>
      <c r="E71" s="100"/>
      <c r="F71" s="100"/>
      <c r="G71" s="100"/>
      <c r="H71" s="100"/>
      <c r="I71" s="28"/>
      <c r="J71" s="109">
        <f>SUM(C71:I71)</f>
        <v>0</v>
      </c>
    </row>
    <row r="72" spans="1:13" x14ac:dyDescent="0.2">
      <c r="A72" s="106" t="s">
        <v>86</v>
      </c>
      <c r="B72" s="105" t="s">
        <v>204</v>
      </c>
      <c r="C72" s="100">
        <v>13982.36</v>
      </c>
      <c r="D72" s="108">
        <v>39.1</v>
      </c>
      <c r="E72" s="108">
        <f>44584.67+2253.49-5377.33</f>
        <v>41460.829999999994</v>
      </c>
      <c r="F72" s="108">
        <f>48624.84-2071.45</f>
        <v>46553.39</v>
      </c>
      <c r="G72" s="108">
        <f>257652.38+425226.77-5383.69</f>
        <v>677495.46000000008</v>
      </c>
      <c r="H72" s="108">
        <f>FISDL!H11</f>
        <v>1253.02</v>
      </c>
      <c r="I72" s="109">
        <v>0.95</v>
      </c>
      <c r="J72" s="109"/>
    </row>
    <row r="73" spans="1:13" ht="25.5" x14ac:dyDescent="0.2">
      <c r="A73" s="104">
        <v>322</v>
      </c>
      <c r="B73" s="107" t="s">
        <v>611</v>
      </c>
      <c r="C73" s="108">
        <f>C74</f>
        <v>25439.550999999999</v>
      </c>
      <c r="D73" s="108">
        <f>D76</f>
        <v>371214.19</v>
      </c>
      <c r="E73" s="108">
        <f>E76</f>
        <v>1113642.5</v>
      </c>
      <c r="F73" s="108">
        <f>F76</f>
        <v>372820.96</v>
      </c>
      <c r="G73" s="100"/>
      <c r="H73" s="100"/>
      <c r="I73" s="28"/>
      <c r="J73" s="109"/>
    </row>
    <row r="74" spans="1:13" ht="51" x14ac:dyDescent="0.2">
      <c r="A74" s="106">
        <v>32201</v>
      </c>
      <c r="B74" s="105" t="s">
        <v>696</v>
      </c>
      <c r="C74" s="100">
        <f>254395.51*10/100</f>
        <v>25439.550999999999</v>
      </c>
      <c r="D74" s="100"/>
      <c r="E74" s="100"/>
      <c r="F74" s="100"/>
      <c r="G74" s="100"/>
      <c r="H74" s="100"/>
      <c r="I74" s="28"/>
      <c r="J74" s="109"/>
    </row>
    <row r="75" spans="1:13" ht="51" x14ac:dyDescent="0.2">
      <c r="A75" s="106"/>
      <c r="B75" s="105" t="s">
        <v>807</v>
      </c>
      <c r="C75" s="100"/>
      <c r="D75" s="222"/>
      <c r="E75" s="526"/>
      <c r="F75" s="100"/>
      <c r="G75" s="100"/>
      <c r="H75" s="100"/>
      <c r="I75" s="28"/>
      <c r="J75" s="109"/>
    </row>
    <row r="76" spans="1:13" ht="38.25" customHeight="1" thickBot="1" x14ac:dyDescent="0.25">
      <c r="A76" s="106" t="s">
        <v>201</v>
      </c>
      <c r="B76" s="105" t="s">
        <v>657</v>
      </c>
      <c r="C76" s="100"/>
      <c r="D76" s="108">
        <v>371214.19</v>
      </c>
      <c r="E76" s="108">
        <v>1113642.5</v>
      </c>
      <c r="F76" s="108">
        <v>372820.96</v>
      </c>
      <c r="G76" s="100"/>
      <c r="H76" s="100"/>
      <c r="I76" s="28"/>
      <c r="J76" s="109"/>
      <c r="L76" s="224"/>
      <c r="M76" s="224"/>
    </row>
    <row r="77" spans="1:13" s="82" customFormat="1" ht="24.95" customHeight="1" thickBot="1" x14ac:dyDescent="0.25">
      <c r="A77" s="385"/>
      <c r="B77" s="386" t="s">
        <v>136</v>
      </c>
      <c r="C77" s="387">
        <f>+C9+C20+C40+C44+C57+C60+C65+C69</f>
        <v>436067.97100000002</v>
      </c>
      <c r="D77" s="387">
        <f>+D9+D20+D40+D44+D57+D60+D65+D69</f>
        <v>1081997.2</v>
      </c>
      <c r="E77" s="387">
        <f>+E9+E20+E40+E44+E57+E60+E65+E69</f>
        <v>3287335.17</v>
      </c>
      <c r="F77" s="504">
        <f>F69+F60</f>
        <v>1130118.42</v>
      </c>
      <c r="G77" s="387">
        <f>G69</f>
        <v>677495.46000000008</v>
      </c>
      <c r="H77" s="387">
        <f>SUM(H72:H76)</f>
        <v>1253.02</v>
      </c>
      <c r="I77" s="387">
        <f>+I9+I20+I40+I44+I57+I60+I65+I69</f>
        <v>7367.4</v>
      </c>
      <c r="J77" s="387">
        <f>J69+J60+J57+J44+J40+J20+J9</f>
        <v>6621634.6410000008</v>
      </c>
      <c r="L77" s="215"/>
      <c r="M77" s="215"/>
    </row>
    <row r="78" spans="1:13" ht="15" customHeight="1" x14ac:dyDescent="0.2">
      <c r="A78" s="31"/>
      <c r="B78" s="127"/>
      <c r="F78" s="214"/>
      <c r="G78" s="214"/>
      <c r="H78" s="499"/>
    </row>
    <row r="79" spans="1:13" s="20" customFormat="1" ht="20.25" customHeight="1" x14ac:dyDescent="0.2">
      <c r="A79" s="128" t="s">
        <v>12</v>
      </c>
      <c r="B79" s="30"/>
      <c r="C79" s="30"/>
      <c r="D79" s="30"/>
      <c r="E79" s="30"/>
      <c r="F79" s="30"/>
      <c r="G79" s="30"/>
      <c r="H79" s="30"/>
      <c r="I79" s="30"/>
      <c r="J79" s="84"/>
    </row>
    <row r="80" spans="1:13" x14ac:dyDescent="0.2">
      <c r="A80" s="578" t="s">
        <v>3</v>
      </c>
      <c r="B80" s="578"/>
      <c r="C80" s="578"/>
      <c r="D80" s="578"/>
      <c r="E80" s="578"/>
      <c r="F80" s="578"/>
      <c r="G80" s="578"/>
      <c r="H80" s="578"/>
    </row>
    <row r="81" spans="1:8" x14ac:dyDescent="0.2">
      <c r="A81" s="578" t="s">
        <v>4</v>
      </c>
      <c r="B81" s="578"/>
      <c r="C81" s="578"/>
      <c r="D81" s="578"/>
      <c r="E81" s="578"/>
      <c r="F81" s="578"/>
      <c r="G81" s="578"/>
      <c r="H81" s="578"/>
    </row>
    <row r="82" spans="1:8" x14ac:dyDescent="0.2">
      <c r="A82" s="578" t="s">
        <v>859</v>
      </c>
      <c r="B82" s="578"/>
      <c r="C82" s="578"/>
      <c r="D82" s="578"/>
      <c r="E82" s="578"/>
      <c r="F82" s="578"/>
      <c r="G82" s="578"/>
      <c r="H82" s="578"/>
    </row>
    <row r="83" spans="1:8" x14ac:dyDescent="0.2">
      <c r="A83" s="578" t="s">
        <v>5</v>
      </c>
      <c r="B83" s="578"/>
      <c r="C83" s="578"/>
      <c r="D83" s="578"/>
      <c r="E83" s="578"/>
      <c r="F83" s="578"/>
      <c r="G83" s="578"/>
      <c r="H83" s="578"/>
    </row>
    <row r="84" spans="1:8" x14ac:dyDescent="0.2">
      <c r="A84" s="578" t="s">
        <v>858</v>
      </c>
      <c r="B84" s="578"/>
      <c r="C84" s="578"/>
      <c r="D84" s="578"/>
      <c r="E84" s="578"/>
      <c r="F84" s="578"/>
      <c r="G84" s="578"/>
      <c r="H84" s="578"/>
    </row>
    <row r="85" spans="1:8" x14ac:dyDescent="0.2">
      <c r="A85" s="578" t="s">
        <v>7</v>
      </c>
      <c r="B85" s="578"/>
      <c r="C85" s="578"/>
      <c r="D85" s="578"/>
      <c r="E85" s="578"/>
      <c r="F85" s="578"/>
      <c r="G85" s="578"/>
      <c r="H85" s="578"/>
    </row>
    <row r="86" spans="1:8" x14ac:dyDescent="0.2">
      <c r="A86" s="579" t="s">
        <v>860</v>
      </c>
      <c r="B86" s="579"/>
      <c r="C86" s="579"/>
      <c r="D86" s="579"/>
      <c r="E86" s="579"/>
      <c r="F86" s="579"/>
      <c r="G86" s="579"/>
      <c r="H86" s="579"/>
    </row>
  </sheetData>
  <mergeCells count="18">
    <mergeCell ref="A2:J2"/>
    <mergeCell ref="A3:J3"/>
    <mergeCell ref="A5:J5"/>
    <mergeCell ref="B6:B8"/>
    <mergeCell ref="J6:J8"/>
    <mergeCell ref="A6:A8"/>
    <mergeCell ref="C6:F6"/>
    <mergeCell ref="D7:F7"/>
    <mergeCell ref="A83:H83"/>
    <mergeCell ref="A84:H84"/>
    <mergeCell ref="A86:H86"/>
    <mergeCell ref="A4:J4"/>
    <mergeCell ref="H6:H8"/>
    <mergeCell ref="I6:I8"/>
    <mergeCell ref="A80:H80"/>
    <mergeCell ref="A85:H85"/>
    <mergeCell ref="A81:H81"/>
    <mergeCell ref="A82:H82"/>
  </mergeCells>
  <phoneticPr fontId="2" type="noConversion"/>
  <printOptions horizontalCentered="1"/>
  <pageMargins left="0.55118110236220474" right="0.55118110236220474" top="0.59055118110236227" bottom="0.59055118110236227" header="0" footer="0"/>
  <pageSetup paperSize="5" scale="62" fitToHeight="0" orientation="portrait" r:id="rId1"/>
  <headerFooter alignWithMargins="0"/>
  <rowBreaks count="1" manualBreakCount="1">
    <brk id="63" max="9" man="1"/>
  </rowBreaks>
  <colBreaks count="1" manualBreakCount="1">
    <brk id="10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169"/>
  <sheetViews>
    <sheetView view="pageBreakPreview" zoomScale="86" zoomScaleNormal="85" zoomScaleSheetLayoutView="86" workbookViewId="0">
      <pane ySplit="1" topLeftCell="A17" activePane="bottomLeft" state="frozen"/>
      <selection activeCell="B1" sqref="B1"/>
      <selection pane="bottomLeft" activeCell="E32" sqref="E32"/>
    </sheetView>
  </sheetViews>
  <sheetFormatPr baseColWidth="10" defaultRowHeight="12.75" x14ac:dyDescent="0.2"/>
  <cols>
    <col min="1" max="1" width="11.42578125" style="26"/>
    <col min="2" max="2" width="7" style="33" customWidth="1"/>
    <col min="3" max="3" width="35.42578125" style="25" customWidth="1"/>
    <col min="4" max="4" width="16.42578125" style="25" customWidth="1"/>
    <col min="5" max="5" width="15.42578125" style="25" customWidth="1"/>
    <col min="6" max="6" width="17.28515625" style="25" customWidth="1"/>
    <col min="7" max="7" width="14.28515625" style="25" customWidth="1"/>
    <col min="8" max="8" width="11" style="25" customWidth="1"/>
    <col min="9" max="9" width="12.7109375" style="25" customWidth="1"/>
    <col min="10" max="10" width="13.5703125" style="25" customWidth="1"/>
    <col min="11" max="11" width="15.140625" style="32" customWidth="1"/>
    <col min="12" max="12" width="14.85546875" style="26" bestFit="1" customWidth="1"/>
    <col min="13" max="13" width="14.5703125" style="26" bestFit="1" customWidth="1"/>
    <col min="14" max="16384" width="11.42578125" style="26"/>
  </cols>
  <sheetData>
    <row r="1" spans="2:13" x14ac:dyDescent="0.2">
      <c r="B1" s="601" t="s">
        <v>381</v>
      </c>
      <c r="C1" s="602"/>
      <c r="D1" s="602"/>
      <c r="E1" s="602"/>
      <c r="F1" s="602"/>
      <c r="G1" s="602"/>
      <c r="H1" s="602"/>
      <c r="I1" s="602"/>
      <c r="J1" s="602"/>
      <c r="K1" s="602"/>
    </row>
    <row r="2" spans="2:13" x14ac:dyDescent="0.2">
      <c r="B2" s="601" t="s">
        <v>372</v>
      </c>
      <c r="C2" s="602"/>
      <c r="D2" s="602"/>
      <c r="E2" s="602"/>
      <c r="F2" s="602"/>
      <c r="G2" s="602"/>
      <c r="H2" s="602"/>
      <c r="I2" s="602"/>
      <c r="J2" s="602"/>
      <c r="K2" s="602"/>
    </row>
    <row r="3" spans="2:13" x14ac:dyDescent="0.2">
      <c r="B3" s="601" t="s">
        <v>888</v>
      </c>
      <c r="C3" s="601"/>
      <c r="D3" s="601"/>
      <c r="E3" s="601"/>
      <c r="F3" s="601"/>
      <c r="G3" s="601"/>
      <c r="H3" s="601"/>
      <c r="I3" s="601"/>
      <c r="J3" s="601"/>
      <c r="K3" s="601"/>
    </row>
    <row r="4" spans="2:13" x14ac:dyDescent="0.2">
      <c r="B4" s="603" t="s">
        <v>10</v>
      </c>
      <c r="C4" s="603"/>
      <c r="D4" s="603"/>
      <c r="E4" s="603"/>
      <c r="F4" s="603"/>
      <c r="G4" s="603"/>
      <c r="H4" s="603"/>
      <c r="I4" s="603"/>
      <c r="J4" s="603"/>
      <c r="K4" s="603"/>
    </row>
    <row r="5" spans="2:13" ht="13.5" thickBot="1" x14ac:dyDescent="0.25">
      <c r="B5" s="604" t="s">
        <v>342</v>
      </c>
      <c r="C5" s="605"/>
      <c r="D5" s="605"/>
      <c r="E5" s="605"/>
      <c r="F5" s="605"/>
      <c r="G5" s="605"/>
      <c r="H5" s="605"/>
      <c r="I5" s="605"/>
      <c r="J5" s="605"/>
      <c r="K5" s="605"/>
    </row>
    <row r="6" spans="2:13" ht="30" customHeight="1" thickBot="1" x14ac:dyDescent="0.25">
      <c r="B6" s="593" t="s">
        <v>99</v>
      </c>
      <c r="C6" s="587" t="s">
        <v>100</v>
      </c>
      <c r="D6" s="596" t="s">
        <v>591</v>
      </c>
      <c r="E6" s="597"/>
      <c r="F6" s="597"/>
      <c r="G6" s="598"/>
      <c r="H6" s="581" t="s">
        <v>377</v>
      </c>
      <c r="I6" s="581" t="s">
        <v>813</v>
      </c>
      <c r="J6" s="581" t="s">
        <v>701</v>
      </c>
      <c r="K6" s="590" t="s">
        <v>102</v>
      </c>
    </row>
    <row r="7" spans="2:13" ht="33" customHeight="1" thickBot="1" x14ac:dyDescent="0.25">
      <c r="B7" s="594"/>
      <c r="C7" s="588"/>
      <c r="D7" s="299" t="s">
        <v>376</v>
      </c>
      <c r="E7" s="606" t="s">
        <v>590</v>
      </c>
      <c r="F7" s="606"/>
      <c r="G7" s="607"/>
      <c r="H7" s="582"/>
      <c r="I7" s="582"/>
      <c r="J7" s="582"/>
      <c r="K7" s="591"/>
    </row>
    <row r="8" spans="2:13" s="27" customFormat="1" ht="88.5" customHeight="1" thickBot="1" x14ac:dyDescent="0.25">
      <c r="B8" s="595"/>
      <c r="C8" s="589"/>
      <c r="D8" s="210" t="s">
        <v>593</v>
      </c>
      <c r="E8" s="211" t="s">
        <v>594</v>
      </c>
      <c r="F8" s="212" t="s">
        <v>595</v>
      </c>
      <c r="G8" s="212" t="s">
        <v>596</v>
      </c>
      <c r="H8" s="583"/>
      <c r="I8" s="583"/>
      <c r="J8" s="583"/>
      <c r="K8" s="592"/>
    </row>
    <row r="9" spans="2:13" ht="15.75" customHeight="1" x14ac:dyDescent="0.2">
      <c r="B9" s="317">
        <v>51</v>
      </c>
      <c r="C9" s="318" t="s">
        <v>283</v>
      </c>
      <c r="D9" s="300">
        <f>+D10+D17+D24+D27+D30+D34+D37+D21</f>
        <v>340879.56</v>
      </c>
      <c r="E9" s="300">
        <f>+E10+E17+E24+E27+E30+E37</f>
        <v>493851.25</v>
      </c>
      <c r="F9" s="300">
        <f>+F10+F17+F24+F27+F30+F37</f>
        <v>51211.65</v>
      </c>
      <c r="G9" s="300"/>
      <c r="H9" s="300">
        <f>+H10+H17+H24+H27+H30</f>
        <v>0</v>
      </c>
      <c r="I9" s="300">
        <f>+I10+I17+I24+I27+I30</f>
        <v>0</v>
      </c>
      <c r="J9" s="300">
        <f>+J10+J17+J24+J27+J30</f>
        <v>0</v>
      </c>
      <c r="K9" s="300">
        <f>SUM(D9:J9)</f>
        <v>885942.46000000008</v>
      </c>
      <c r="L9" s="232"/>
      <c r="M9" s="230"/>
    </row>
    <row r="10" spans="2:13" ht="15.75" customHeight="1" x14ac:dyDescent="0.2">
      <c r="B10" s="302">
        <v>511</v>
      </c>
      <c r="C10" s="303" t="s">
        <v>284</v>
      </c>
      <c r="D10" s="304">
        <f>SUM(D11:D15)</f>
        <v>285687.2</v>
      </c>
      <c r="E10" s="304">
        <f t="shared" ref="E10:J10" si="0">+E11+E12+E13+E15</f>
        <v>343660.96</v>
      </c>
      <c r="F10" s="304">
        <f t="shared" si="0"/>
        <v>0</v>
      </c>
      <c r="G10" s="304"/>
      <c r="H10" s="304">
        <f t="shared" si="0"/>
        <v>0</v>
      </c>
      <c r="I10" s="304">
        <f t="shared" si="0"/>
        <v>0</v>
      </c>
      <c r="J10" s="304">
        <f t="shared" si="0"/>
        <v>0</v>
      </c>
      <c r="K10" s="304">
        <f>+K11+K12+K13+K15+K14</f>
        <v>629348.16</v>
      </c>
      <c r="L10" s="231"/>
    </row>
    <row r="11" spans="2:13" ht="15.75" customHeight="1" x14ac:dyDescent="0.2">
      <c r="B11" s="112">
        <v>51101</v>
      </c>
      <c r="C11" s="85" t="s">
        <v>35</v>
      </c>
      <c r="D11" s="126">
        <f>'Egresos F. MPal.'!H10</f>
        <v>163087.20000000001</v>
      </c>
      <c r="E11" s="100">
        <f>'Egr. FODES 25%'!H11+'Egr. FODES 25%'!H97+'Egr. FODES 25%'!H177</f>
        <v>289307.52000000002</v>
      </c>
      <c r="F11" s="100"/>
      <c r="G11" s="100"/>
      <c r="H11" s="100"/>
      <c r="I11" s="28"/>
      <c r="J11" s="100"/>
      <c r="K11" s="28">
        <f>SUM(D11:J11)</f>
        <v>452394.72000000003</v>
      </c>
      <c r="L11" s="230"/>
    </row>
    <row r="12" spans="2:13" ht="15.75" customHeight="1" x14ac:dyDescent="0.2">
      <c r="B12" s="112">
        <v>51103</v>
      </c>
      <c r="C12" s="85" t="s">
        <v>36</v>
      </c>
      <c r="D12" s="126">
        <v>0</v>
      </c>
      <c r="E12" s="100">
        <f>'Egr. FODES 25%'!H12+'Egr. FODES 25%'!H98+'Egr. FODES 25%'!H178</f>
        <v>32233.440000000002</v>
      </c>
      <c r="F12" s="100"/>
      <c r="G12" s="100"/>
      <c r="H12" s="100"/>
      <c r="I12" s="28"/>
      <c r="J12" s="100"/>
      <c r="K12" s="28">
        <f>SUM(D12:J12)</f>
        <v>32233.440000000002</v>
      </c>
      <c r="L12" s="230"/>
    </row>
    <row r="13" spans="2:13" ht="15.75" customHeight="1" x14ac:dyDescent="0.2">
      <c r="B13" s="110">
        <v>51105</v>
      </c>
      <c r="C13" s="102" t="s">
        <v>71</v>
      </c>
      <c r="D13" s="126">
        <f>'Egresos F. MPal.'!H12</f>
        <v>105600</v>
      </c>
      <c r="E13" s="100">
        <f>'Egr. FODES 25%'!H13</f>
        <v>21120</v>
      </c>
      <c r="F13" s="100"/>
      <c r="G13" s="100"/>
      <c r="H13" s="100"/>
      <c r="I13" s="28"/>
      <c r="J13" s="100"/>
      <c r="K13" s="28">
        <f>SUM(D13:J13)</f>
        <v>126720</v>
      </c>
      <c r="L13" s="230"/>
    </row>
    <row r="14" spans="2:13" ht="15.75" customHeight="1" x14ac:dyDescent="0.2">
      <c r="B14" s="112">
        <v>51106</v>
      </c>
      <c r="C14" s="216" t="s">
        <v>584</v>
      </c>
      <c r="D14" s="126">
        <v>0</v>
      </c>
      <c r="E14" s="100"/>
      <c r="F14" s="100"/>
      <c r="G14" s="100"/>
      <c r="H14" s="100"/>
      <c r="I14" s="28"/>
      <c r="J14" s="100"/>
      <c r="K14" s="28">
        <f>SUM(D14:J14)</f>
        <v>0</v>
      </c>
      <c r="L14" s="230"/>
    </row>
    <row r="15" spans="2:13" ht="15.75" customHeight="1" x14ac:dyDescent="0.2">
      <c r="B15" s="112">
        <v>51107</v>
      </c>
      <c r="C15" s="85" t="s">
        <v>527</v>
      </c>
      <c r="D15" s="126">
        <f>'Egresos F. MPal.'!H14</f>
        <v>17000</v>
      </c>
      <c r="E15" s="100">
        <f>'Egr. FODES 25%'!H14</f>
        <v>1000</v>
      </c>
      <c r="F15" s="100"/>
      <c r="G15" s="100"/>
      <c r="H15" s="100"/>
      <c r="I15" s="28"/>
      <c r="J15" s="100"/>
      <c r="K15" s="28">
        <f>SUM(D15:J15)</f>
        <v>18000</v>
      </c>
      <c r="L15" s="230"/>
    </row>
    <row r="16" spans="2:13" ht="15.75" customHeight="1" x14ac:dyDescent="0.2">
      <c r="B16" s="112"/>
      <c r="C16" s="85"/>
      <c r="D16" s="126"/>
      <c r="E16" s="100"/>
      <c r="F16" s="100"/>
      <c r="G16" s="100"/>
      <c r="H16" s="100"/>
      <c r="I16" s="28"/>
      <c r="J16" s="100"/>
      <c r="K16" s="28"/>
    </row>
    <row r="17" spans="2:13" ht="15.75" customHeight="1" x14ac:dyDescent="0.2">
      <c r="B17" s="305">
        <v>512</v>
      </c>
      <c r="C17" s="306" t="s">
        <v>285</v>
      </c>
      <c r="D17" s="410">
        <f>SUM(D18:D19)</f>
        <v>0</v>
      </c>
      <c r="E17" s="307">
        <f>SUM(E18:E19)</f>
        <v>0</v>
      </c>
      <c r="F17" s="307">
        <f>SUM(F18:F19)</f>
        <v>34261.65</v>
      </c>
      <c r="G17" s="307"/>
      <c r="H17" s="307">
        <f>SUM(H18:H19)</f>
        <v>0</v>
      </c>
      <c r="I17" s="307">
        <f>SUM(I18:I19)</f>
        <v>0</v>
      </c>
      <c r="J17" s="307">
        <f>SUM(J18:J19)</f>
        <v>0</v>
      </c>
      <c r="K17" s="307">
        <f>SUM(K18:K19)</f>
        <v>34261.65</v>
      </c>
      <c r="L17" s="233"/>
    </row>
    <row r="18" spans="2:13" ht="15.75" customHeight="1" x14ac:dyDescent="0.2">
      <c r="B18" s="111">
        <v>51201</v>
      </c>
      <c r="C18" s="85" t="s">
        <v>35</v>
      </c>
      <c r="D18" s="126"/>
      <c r="E18" s="100"/>
      <c r="F18" s="100"/>
      <c r="G18" s="100"/>
      <c r="H18" s="100"/>
      <c r="I18" s="28"/>
      <c r="J18" s="100"/>
      <c r="K18" s="28">
        <f>SUM(D18:J18)</f>
        <v>0</v>
      </c>
    </row>
    <row r="19" spans="2:13" ht="15.75" customHeight="1" x14ac:dyDescent="0.2">
      <c r="B19" s="110">
        <v>51202</v>
      </c>
      <c r="C19" s="102" t="s">
        <v>155</v>
      </c>
      <c r="D19" s="126"/>
      <c r="E19" s="100"/>
      <c r="F19" s="100">
        <v>34261.65</v>
      </c>
      <c r="G19" s="100"/>
      <c r="H19" s="100"/>
      <c r="I19" s="28"/>
      <c r="J19" s="100"/>
      <c r="K19" s="28">
        <f>SUM(D19:J19)</f>
        <v>34261.65</v>
      </c>
      <c r="L19" s="230"/>
    </row>
    <row r="20" spans="2:13" ht="15.75" customHeight="1" x14ac:dyDescent="0.2">
      <c r="B20" s="112"/>
      <c r="C20" s="85"/>
      <c r="D20" s="126"/>
      <c r="E20" s="100"/>
      <c r="F20" s="100"/>
      <c r="G20" s="100"/>
      <c r="H20" s="100"/>
      <c r="I20" s="28"/>
      <c r="J20" s="100"/>
      <c r="K20" s="28"/>
      <c r="L20" s="230"/>
    </row>
    <row r="21" spans="2:13" ht="15.75" customHeight="1" x14ac:dyDescent="0.2">
      <c r="B21" s="305">
        <v>513</v>
      </c>
      <c r="C21" s="306" t="s">
        <v>626</v>
      </c>
      <c r="D21" s="410">
        <f>D22</f>
        <v>0</v>
      </c>
      <c r="E21" s="308"/>
      <c r="F21" s="308"/>
      <c r="G21" s="308"/>
      <c r="H21" s="308"/>
      <c r="I21" s="309"/>
      <c r="J21" s="308"/>
      <c r="K21" s="309">
        <f>SUM(D21:J21)</f>
        <v>0</v>
      </c>
      <c r="L21" s="230"/>
    </row>
    <row r="22" spans="2:13" ht="15.75" customHeight="1" x14ac:dyDescent="0.2">
      <c r="B22" s="112">
        <v>51301</v>
      </c>
      <c r="C22" s="85" t="s">
        <v>627</v>
      </c>
      <c r="D22" s="126"/>
      <c r="E22" s="100"/>
      <c r="F22" s="100"/>
      <c r="G22" s="100"/>
      <c r="H22" s="100"/>
      <c r="I22" s="28"/>
      <c r="J22" s="100"/>
      <c r="K22" s="28"/>
      <c r="L22" s="230"/>
    </row>
    <row r="23" spans="2:13" ht="15.75" customHeight="1" x14ac:dyDescent="0.2">
      <c r="B23" s="112"/>
      <c r="C23" s="85"/>
      <c r="D23" s="126"/>
      <c r="E23" s="100"/>
      <c r="F23" s="100"/>
      <c r="G23" s="100"/>
      <c r="H23" s="100"/>
      <c r="I23" s="100"/>
      <c r="J23" s="100"/>
      <c r="K23" s="100"/>
    </row>
    <row r="24" spans="2:13" ht="21.75" customHeight="1" x14ac:dyDescent="0.2">
      <c r="B24" s="310">
        <v>514</v>
      </c>
      <c r="C24" s="311" t="s">
        <v>329</v>
      </c>
      <c r="D24" s="410">
        <f>+D25</f>
        <v>20010.48</v>
      </c>
      <c r="E24" s="307">
        <f t="shared" ref="E24:K24" si="1">+E25</f>
        <v>19797.12</v>
      </c>
      <c r="F24" s="307">
        <f t="shared" si="1"/>
        <v>0</v>
      </c>
      <c r="G24" s="307"/>
      <c r="H24" s="307">
        <f t="shared" si="1"/>
        <v>0</v>
      </c>
      <c r="I24" s="307">
        <f t="shared" si="1"/>
        <v>0</v>
      </c>
      <c r="J24" s="307">
        <f>+J25</f>
        <v>0</v>
      </c>
      <c r="K24" s="307">
        <f t="shared" si="1"/>
        <v>39807.599999999999</v>
      </c>
      <c r="L24" s="232"/>
      <c r="M24" s="213"/>
    </row>
    <row r="25" spans="2:13" ht="15.75" customHeight="1" x14ac:dyDescent="0.2">
      <c r="B25" s="111">
        <v>51401</v>
      </c>
      <c r="C25" s="85" t="s">
        <v>37</v>
      </c>
      <c r="D25" s="126">
        <f>'Egresos F. MPal.'!H18</f>
        <v>20010.48</v>
      </c>
      <c r="E25" s="100">
        <f>'Egr. FODES 25%'!H17</f>
        <v>19797.12</v>
      </c>
      <c r="F25" s="100"/>
      <c r="G25" s="100"/>
      <c r="H25" s="100"/>
      <c r="I25" s="28"/>
      <c r="J25" s="100"/>
      <c r="K25" s="28">
        <f>SUM(D25:J25)</f>
        <v>39807.599999999999</v>
      </c>
      <c r="L25" s="213"/>
    </row>
    <row r="26" spans="2:13" ht="15.75" customHeight="1" x14ac:dyDescent="0.2">
      <c r="B26" s="111"/>
      <c r="C26" s="85"/>
      <c r="D26" s="126">
        <v>0</v>
      </c>
      <c r="E26" s="100"/>
      <c r="F26" s="100"/>
      <c r="G26" s="100"/>
      <c r="H26" s="100"/>
      <c r="I26" s="28"/>
      <c r="J26" s="100"/>
      <c r="K26" s="28"/>
    </row>
    <row r="27" spans="2:13" ht="21" customHeight="1" x14ac:dyDescent="0.2">
      <c r="B27" s="302">
        <v>515</v>
      </c>
      <c r="C27" s="311" t="s">
        <v>330</v>
      </c>
      <c r="D27" s="410">
        <f>+D28</f>
        <v>16199.52</v>
      </c>
      <c r="E27" s="307">
        <f t="shared" ref="E27:K27" si="2">+E28</f>
        <v>19259.28</v>
      </c>
      <c r="F27" s="307">
        <f t="shared" si="2"/>
        <v>0</v>
      </c>
      <c r="G27" s="307"/>
      <c r="H27" s="307">
        <f t="shared" si="2"/>
        <v>0</v>
      </c>
      <c r="I27" s="307">
        <f t="shared" si="2"/>
        <v>0</v>
      </c>
      <c r="J27" s="307">
        <f>+J28</f>
        <v>0</v>
      </c>
      <c r="K27" s="307">
        <f t="shared" si="2"/>
        <v>35458.800000000003</v>
      </c>
      <c r="L27" s="231"/>
    </row>
    <row r="28" spans="2:13" ht="15.75" customHeight="1" x14ac:dyDescent="0.2">
      <c r="B28" s="110">
        <v>51501</v>
      </c>
      <c r="C28" s="85" t="s">
        <v>37</v>
      </c>
      <c r="D28" s="126">
        <f>'Egresos F. MPal.'!H19</f>
        <v>16199.52</v>
      </c>
      <c r="E28" s="100">
        <f>'Egr. FODES 25%'!H18</f>
        <v>19259.28</v>
      </c>
      <c r="F28" s="100"/>
      <c r="G28" s="100"/>
      <c r="H28" s="100"/>
      <c r="I28" s="28"/>
      <c r="J28" s="100"/>
      <c r="K28" s="28">
        <f>SUM(D28:J28)</f>
        <v>35458.800000000003</v>
      </c>
      <c r="L28" s="230"/>
    </row>
    <row r="29" spans="2:13" ht="15.75" customHeight="1" x14ac:dyDescent="0.2">
      <c r="B29" s="110"/>
      <c r="C29" s="85"/>
      <c r="D29" s="126"/>
      <c r="E29" s="100"/>
      <c r="F29" s="100"/>
      <c r="G29" s="100"/>
      <c r="H29" s="100"/>
      <c r="I29" s="28"/>
      <c r="J29" s="100"/>
      <c r="K29" s="28"/>
      <c r="L29" s="230"/>
    </row>
    <row r="30" spans="2:13" ht="15.75" customHeight="1" x14ac:dyDescent="0.2">
      <c r="B30" s="305">
        <v>516</v>
      </c>
      <c r="C30" s="311" t="s">
        <v>335</v>
      </c>
      <c r="D30" s="410">
        <f>+D32+D31</f>
        <v>0</v>
      </c>
      <c r="E30" s="307">
        <f>+E32+E31</f>
        <v>0</v>
      </c>
      <c r="F30" s="307">
        <f>+F32+F31</f>
        <v>0</v>
      </c>
      <c r="G30" s="307"/>
      <c r="H30" s="307">
        <f>+H32</f>
        <v>0</v>
      </c>
      <c r="I30" s="307">
        <f>+I32</f>
        <v>0</v>
      </c>
      <c r="J30" s="307">
        <f>+J32</f>
        <v>0</v>
      </c>
      <c r="K30" s="307">
        <f>+K31+K32</f>
        <v>0</v>
      </c>
      <c r="L30" s="231"/>
    </row>
    <row r="31" spans="2:13" ht="15.75" customHeight="1" x14ac:dyDescent="0.2">
      <c r="B31" s="110">
        <v>51601</v>
      </c>
      <c r="C31" s="85" t="s">
        <v>585</v>
      </c>
      <c r="D31" s="126"/>
      <c r="E31" s="100"/>
      <c r="F31" s="108"/>
      <c r="G31" s="108"/>
      <c r="H31" s="108"/>
      <c r="I31" s="108"/>
      <c r="J31" s="108"/>
      <c r="K31" s="28">
        <f>SUM(D31:J31)</f>
        <v>0</v>
      </c>
      <c r="L31" s="230"/>
    </row>
    <row r="32" spans="2:13" ht="15.75" customHeight="1" x14ac:dyDescent="0.2">
      <c r="B32" s="110">
        <v>51602</v>
      </c>
      <c r="C32" s="85" t="s">
        <v>336</v>
      </c>
      <c r="D32" s="126"/>
      <c r="E32" s="100"/>
      <c r="F32" s="100"/>
      <c r="G32" s="100"/>
      <c r="H32" s="100"/>
      <c r="I32" s="28"/>
      <c r="J32" s="100"/>
      <c r="K32" s="28">
        <f>SUM(D32:J32)</f>
        <v>0</v>
      </c>
      <c r="L32" s="230"/>
    </row>
    <row r="33" spans="2:12" ht="15.75" customHeight="1" x14ac:dyDescent="0.2">
      <c r="B33" s="110"/>
      <c r="C33" s="85"/>
      <c r="D33" s="126"/>
      <c r="E33" s="100"/>
      <c r="F33" s="100"/>
      <c r="G33" s="100"/>
      <c r="H33" s="100"/>
      <c r="I33" s="28"/>
      <c r="J33" s="100"/>
      <c r="K33" s="28"/>
      <c r="L33" s="230"/>
    </row>
    <row r="34" spans="2:12" ht="15.75" customHeight="1" x14ac:dyDescent="0.2">
      <c r="B34" s="305">
        <v>517</v>
      </c>
      <c r="C34" s="306" t="s">
        <v>587</v>
      </c>
      <c r="D34" s="410">
        <f>+D36+D35</f>
        <v>18982.36</v>
      </c>
      <c r="E34" s="307">
        <f>+E36+E35</f>
        <v>0</v>
      </c>
      <c r="F34" s="307">
        <f>+F36+F35</f>
        <v>0</v>
      </c>
      <c r="G34" s="307"/>
      <c r="H34" s="307">
        <f>+H36</f>
        <v>0</v>
      </c>
      <c r="I34" s="307">
        <f>+I36</f>
        <v>0</v>
      </c>
      <c r="J34" s="307">
        <f>+J36</f>
        <v>0</v>
      </c>
      <c r="K34" s="307">
        <f>+K35+K36</f>
        <v>18982.36</v>
      </c>
      <c r="L34" s="231"/>
    </row>
    <row r="35" spans="2:12" ht="15.75" customHeight="1" x14ac:dyDescent="0.2">
      <c r="B35" s="110">
        <v>51701</v>
      </c>
      <c r="C35" s="102" t="s">
        <v>586</v>
      </c>
      <c r="D35" s="126">
        <f>'Egresos F. MPal.'!H22</f>
        <v>18982.36</v>
      </c>
      <c r="E35" s="100">
        <v>0</v>
      </c>
      <c r="F35" s="108"/>
      <c r="G35" s="108"/>
      <c r="H35" s="108"/>
      <c r="I35" s="108"/>
      <c r="J35" s="108"/>
      <c r="K35" s="28">
        <f>SUM(D35:J35)</f>
        <v>18982.36</v>
      </c>
      <c r="L35" s="230"/>
    </row>
    <row r="36" spans="2:12" ht="15.75" customHeight="1" x14ac:dyDescent="0.2">
      <c r="B36" s="110"/>
      <c r="C36" s="102"/>
      <c r="D36" s="126"/>
      <c r="E36" s="100"/>
      <c r="F36" s="100"/>
      <c r="G36" s="100"/>
      <c r="H36" s="100"/>
      <c r="I36" s="28"/>
      <c r="J36" s="100"/>
      <c r="K36" s="28"/>
      <c r="L36" s="230"/>
    </row>
    <row r="37" spans="2:12" ht="15.75" customHeight="1" x14ac:dyDescent="0.2">
      <c r="B37" s="305">
        <v>519</v>
      </c>
      <c r="C37" s="306" t="s">
        <v>172</v>
      </c>
      <c r="D37" s="410">
        <f t="shared" ref="D37:J37" si="3">+D38</f>
        <v>0</v>
      </c>
      <c r="E37" s="307">
        <f t="shared" si="3"/>
        <v>111133.89</v>
      </c>
      <c r="F37" s="307">
        <f t="shared" si="3"/>
        <v>16950</v>
      </c>
      <c r="G37" s="307">
        <f t="shared" si="3"/>
        <v>0</v>
      </c>
      <c r="H37" s="307">
        <f t="shared" si="3"/>
        <v>0</v>
      </c>
      <c r="I37" s="304">
        <f t="shared" si="3"/>
        <v>0</v>
      </c>
      <c r="J37" s="307">
        <f t="shared" si="3"/>
        <v>0</v>
      </c>
      <c r="K37" s="304">
        <f>SUM(D37:J37)</f>
        <v>128083.89</v>
      </c>
      <c r="L37" s="231"/>
    </row>
    <row r="38" spans="2:12" ht="15.75" customHeight="1" x14ac:dyDescent="0.2">
      <c r="B38" s="110">
        <v>51999</v>
      </c>
      <c r="C38" s="102" t="s">
        <v>172</v>
      </c>
      <c r="D38" s="126"/>
      <c r="E38" s="556">
        <v>111133.89</v>
      </c>
      <c r="F38" s="100">
        <v>16950</v>
      </c>
      <c r="G38" s="100"/>
      <c r="H38" s="100"/>
      <c r="I38" s="28"/>
      <c r="J38" s="100"/>
      <c r="K38" s="28">
        <f>SUM(D38:J38)</f>
        <v>128083.89</v>
      </c>
      <c r="L38" s="230"/>
    </row>
    <row r="39" spans="2:12" ht="15.75" customHeight="1" x14ac:dyDescent="0.2">
      <c r="B39" s="110"/>
      <c r="C39" s="102"/>
      <c r="D39" s="126"/>
      <c r="E39" s="100"/>
      <c r="F39" s="100"/>
      <c r="G39" s="100"/>
      <c r="H39" s="100"/>
      <c r="I39" s="28"/>
      <c r="J39" s="100"/>
      <c r="K39" s="28"/>
    </row>
    <row r="40" spans="2:12" ht="15.75" customHeight="1" x14ac:dyDescent="0.2">
      <c r="B40" s="319">
        <v>54</v>
      </c>
      <c r="C40" s="320" t="s">
        <v>286</v>
      </c>
      <c r="D40" s="410">
        <f>+D41+D63+D70+D86+D92+D100</f>
        <v>80488.41</v>
      </c>
      <c r="E40" s="321">
        <f>+E41+E63+E70+E86+E92+E100</f>
        <v>177331.76</v>
      </c>
      <c r="F40" s="321">
        <f>+F41+F63+F70+F86+F92+F100</f>
        <v>636307.04</v>
      </c>
      <c r="G40" s="321"/>
      <c r="H40" s="321">
        <f>+H41+H63+H70+H86+H92+H100</f>
        <v>0</v>
      </c>
      <c r="I40" s="321">
        <f>+I41+I63+I70+I86+I92+I100</f>
        <v>677495.46</v>
      </c>
      <c r="J40" s="321">
        <f>+J41+J63+J70+J86+J92+J100</f>
        <v>3000</v>
      </c>
      <c r="K40" s="321">
        <f>+K41+K63+K70+K86+K92+K100</f>
        <v>1574622.67</v>
      </c>
      <c r="L40" s="232"/>
    </row>
    <row r="41" spans="2:12" ht="15.75" customHeight="1" x14ac:dyDescent="0.2">
      <c r="B41" s="305">
        <v>541</v>
      </c>
      <c r="C41" s="306" t="s">
        <v>287</v>
      </c>
      <c r="D41" s="410">
        <f>SUM(D42:D61)</f>
        <v>43788.25</v>
      </c>
      <c r="E41" s="307">
        <f t="shared" ref="E41:J41" si="4">SUM(E42:E61)</f>
        <v>56361.5</v>
      </c>
      <c r="F41" s="307">
        <f>SUM(F42:F61)</f>
        <v>504378.52</v>
      </c>
      <c r="G41" s="307"/>
      <c r="H41" s="307">
        <f t="shared" si="4"/>
        <v>0</v>
      </c>
      <c r="I41" s="307">
        <f t="shared" si="4"/>
        <v>677495.46</v>
      </c>
      <c r="J41" s="307">
        <f t="shared" si="4"/>
        <v>3000</v>
      </c>
      <c r="K41" s="307">
        <f>SUM(K42:K61)</f>
        <v>1285023.73</v>
      </c>
      <c r="L41" s="231"/>
    </row>
    <row r="42" spans="2:12" ht="15.75" customHeight="1" x14ac:dyDescent="0.2">
      <c r="B42" s="110">
        <v>54101</v>
      </c>
      <c r="C42" s="102" t="s">
        <v>38</v>
      </c>
      <c r="D42" s="126">
        <f>'Egresos F. MPal.'!H24</f>
        <v>7987.5</v>
      </c>
      <c r="E42" s="100">
        <f>'Egr. FODES 25%'!H22</f>
        <v>1987.5</v>
      </c>
      <c r="F42" s="223">
        <v>44975</v>
      </c>
      <c r="G42" s="100"/>
      <c r="H42" s="100"/>
      <c r="I42" s="502">
        <v>100000</v>
      </c>
      <c r="J42" s="100">
        <v>3000</v>
      </c>
      <c r="K42" s="28">
        <f t="shared" ref="K42:K61" si="5">SUM(D42:J42)</f>
        <v>157950</v>
      </c>
      <c r="L42" s="230"/>
    </row>
    <row r="43" spans="2:12" ht="15.75" customHeight="1" x14ac:dyDescent="0.2">
      <c r="B43" s="110">
        <v>54103</v>
      </c>
      <c r="C43" s="102" t="s">
        <v>177</v>
      </c>
      <c r="D43" s="126"/>
      <c r="E43" s="100"/>
      <c r="F43" s="223">
        <v>80</v>
      </c>
      <c r="G43" s="100"/>
      <c r="H43" s="100"/>
      <c r="I43" s="28"/>
      <c r="J43" s="100"/>
      <c r="K43" s="28">
        <f t="shared" si="5"/>
        <v>80</v>
      </c>
      <c r="L43" s="230"/>
    </row>
    <row r="44" spans="2:12" ht="15.75" customHeight="1" x14ac:dyDescent="0.2">
      <c r="B44" s="110">
        <v>54104</v>
      </c>
      <c r="C44" s="102" t="s">
        <v>156</v>
      </c>
      <c r="D44" s="126">
        <f>'Egresos F. MPal.'!H25</f>
        <v>5790</v>
      </c>
      <c r="E44" s="100">
        <f>'Egr. FODES 25%'!H23</f>
        <v>4790</v>
      </c>
      <c r="F44" s="223">
        <v>27373</v>
      </c>
      <c r="G44" s="100"/>
      <c r="H44" s="100"/>
      <c r="I44" s="28"/>
      <c r="J44" s="100"/>
      <c r="K44" s="28">
        <f t="shared" si="5"/>
        <v>37953</v>
      </c>
      <c r="L44" s="230"/>
    </row>
    <row r="45" spans="2:12" ht="15.75" customHeight="1" x14ac:dyDescent="0.2">
      <c r="B45" s="110">
        <v>54105</v>
      </c>
      <c r="C45" s="102" t="s">
        <v>364</v>
      </c>
      <c r="D45" s="126">
        <f>'Egresos F. MPal.'!H26</f>
        <v>5965.25</v>
      </c>
      <c r="E45" s="100">
        <f>'Egr. FODES 25%'!H24</f>
        <v>5000</v>
      </c>
      <c r="F45" s="223">
        <v>300</v>
      </c>
      <c r="G45" s="100"/>
      <c r="H45" s="100"/>
      <c r="I45" s="28"/>
      <c r="J45" s="100"/>
      <c r="K45" s="28">
        <f t="shared" si="5"/>
        <v>11265.25</v>
      </c>
      <c r="L45" s="230"/>
    </row>
    <row r="46" spans="2:12" ht="15.75" customHeight="1" x14ac:dyDescent="0.2">
      <c r="B46" s="110">
        <v>54106</v>
      </c>
      <c r="C46" s="102" t="s">
        <v>365</v>
      </c>
      <c r="D46" s="126">
        <f>'Egresos F. MPal.'!H27</f>
        <v>2036.5</v>
      </c>
      <c r="E46" s="100">
        <f>'Egr. FODES 25%'!H25</f>
        <v>500</v>
      </c>
      <c r="F46" s="223">
        <v>10286.52</v>
      </c>
      <c r="G46" s="100"/>
      <c r="H46" s="100"/>
      <c r="I46" s="28"/>
      <c r="J46" s="100"/>
      <c r="K46" s="28">
        <f t="shared" si="5"/>
        <v>12823.02</v>
      </c>
      <c r="L46" s="230"/>
    </row>
    <row r="47" spans="2:12" ht="15.75" customHeight="1" x14ac:dyDescent="0.2">
      <c r="B47" s="110">
        <v>54107</v>
      </c>
      <c r="C47" s="102" t="s">
        <v>158</v>
      </c>
      <c r="D47" s="126">
        <f>'Egresos F. MPal.'!H28</f>
        <v>1925</v>
      </c>
      <c r="E47" s="100">
        <f>'Egr. FODES 25%'!H26</f>
        <v>1000</v>
      </c>
      <c r="F47" s="223">
        <v>98826</v>
      </c>
      <c r="G47" s="100"/>
      <c r="H47" s="100"/>
      <c r="I47" s="502">
        <v>100000</v>
      </c>
      <c r="J47" s="100"/>
      <c r="K47" s="28">
        <f t="shared" si="5"/>
        <v>201751</v>
      </c>
      <c r="L47" s="230"/>
    </row>
    <row r="48" spans="2:12" ht="15.75" customHeight="1" x14ac:dyDescent="0.2">
      <c r="B48" s="110">
        <v>54108</v>
      </c>
      <c r="C48" s="102" t="s">
        <v>366</v>
      </c>
      <c r="D48" s="126">
        <f>'Egresos F. MPal.'!H29</f>
        <v>462.5</v>
      </c>
      <c r="E48" s="100">
        <f>'Egr. FODES 25%'!H27</f>
        <v>462.5</v>
      </c>
      <c r="F48" s="223"/>
      <c r="G48" s="100"/>
      <c r="H48" s="100"/>
      <c r="I48" s="28"/>
      <c r="J48" s="100"/>
      <c r="K48" s="28">
        <f t="shared" si="5"/>
        <v>925</v>
      </c>
      <c r="L48" s="230"/>
    </row>
    <row r="49" spans="2:12" ht="15.75" customHeight="1" x14ac:dyDescent="0.2">
      <c r="B49" s="110">
        <v>54109</v>
      </c>
      <c r="C49" s="102" t="s">
        <v>159</v>
      </c>
      <c r="D49" s="126">
        <f>'Egresos F. MPal.'!H30</f>
        <v>200</v>
      </c>
      <c r="E49" s="100">
        <f>'Egr. FODES 25%'!H28+'Egr. FODES 25%'!H192</f>
        <v>6200</v>
      </c>
      <c r="F49" s="223">
        <v>24000</v>
      </c>
      <c r="G49" s="100"/>
      <c r="H49" s="100"/>
      <c r="I49" s="28"/>
      <c r="J49" s="100"/>
      <c r="K49" s="28">
        <f t="shared" si="5"/>
        <v>30400</v>
      </c>
      <c r="L49" s="230"/>
    </row>
    <row r="50" spans="2:12" ht="15.75" customHeight="1" x14ac:dyDescent="0.2">
      <c r="B50" s="110">
        <v>54110</v>
      </c>
      <c r="C50" s="102" t="s">
        <v>40</v>
      </c>
      <c r="D50" s="126"/>
      <c r="E50" s="100">
        <f>'Egr. FODES 25%'!H193</f>
        <v>15000</v>
      </c>
      <c r="F50" s="223">
        <v>28420</v>
      </c>
      <c r="G50" s="100"/>
      <c r="H50" s="100"/>
      <c r="I50" s="28"/>
      <c r="J50" s="100"/>
      <c r="K50" s="28">
        <f t="shared" si="5"/>
        <v>43420</v>
      </c>
      <c r="L50" s="230"/>
    </row>
    <row r="51" spans="2:12" ht="15.75" customHeight="1" x14ac:dyDescent="0.2">
      <c r="B51" s="110">
        <v>54111</v>
      </c>
      <c r="C51" s="102" t="s">
        <v>289</v>
      </c>
      <c r="D51" s="126">
        <f>'Egresos F. MPal.'!H32</f>
        <v>850</v>
      </c>
      <c r="E51" s="100">
        <f>'Egr. FODES 25%'!H30</f>
        <v>850</v>
      </c>
      <c r="F51" s="223">
        <v>57940</v>
      </c>
      <c r="G51" s="100"/>
      <c r="H51" s="100"/>
      <c r="I51" s="28"/>
      <c r="J51" s="100"/>
      <c r="K51" s="28">
        <f t="shared" si="5"/>
        <v>59640</v>
      </c>
      <c r="L51" s="230"/>
    </row>
    <row r="52" spans="2:12" ht="15.75" customHeight="1" x14ac:dyDescent="0.2">
      <c r="B52" s="110">
        <v>54112</v>
      </c>
      <c r="C52" s="102" t="s">
        <v>288</v>
      </c>
      <c r="D52" s="126">
        <f>'Egresos F. MPal.'!H33</f>
        <v>5000</v>
      </c>
      <c r="E52" s="100">
        <f>'Egr. FODES 25%'!H31</f>
        <v>1000</v>
      </c>
      <c r="F52" s="223">
        <v>106729</v>
      </c>
      <c r="G52" s="100"/>
      <c r="H52" s="100"/>
      <c r="I52" s="100"/>
      <c r="J52" s="100"/>
      <c r="K52" s="28">
        <f t="shared" si="5"/>
        <v>112729</v>
      </c>
      <c r="L52" s="230"/>
    </row>
    <row r="53" spans="2:12" ht="27.6" customHeight="1" x14ac:dyDescent="0.2">
      <c r="B53" s="220">
        <v>54113</v>
      </c>
      <c r="C53" s="221" t="s">
        <v>588</v>
      </c>
      <c r="D53" s="126"/>
      <c r="E53" s="222"/>
      <c r="F53" s="223"/>
      <c r="G53" s="222"/>
      <c r="H53" s="222"/>
      <c r="I53" s="503">
        <v>100000</v>
      </c>
      <c r="J53" s="222"/>
      <c r="K53" s="28">
        <f t="shared" si="5"/>
        <v>100000</v>
      </c>
      <c r="L53" s="230"/>
    </row>
    <row r="54" spans="2:12" ht="15.75" customHeight="1" x14ac:dyDescent="0.2">
      <c r="B54" s="110">
        <v>54114</v>
      </c>
      <c r="C54" s="102" t="s">
        <v>41</v>
      </c>
      <c r="D54" s="126">
        <f>'Egresos F. MPal.'!H35</f>
        <v>421.5</v>
      </c>
      <c r="E54" s="100">
        <f>'Egr. FODES 25%'!H33</f>
        <v>4421.5</v>
      </c>
      <c r="F54" s="223"/>
      <c r="G54" s="100"/>
      <c r="H54" s="100"/>
      <c r="I54" s="28"/>
      <c r="J54" s="100"/>
      <c r="K54" s="28">
        <f t="shared" si="5"/>
        <v>4843</v>
      </c>
      <c r="L54" s="230"/>
    </row>
    <row r="55" spans="2:12" ht="15.75" customHeight="1" x14ac:dyDescent="0.2">
      <c r="B55" s="110">
        <v>54115</v>
      </c>
      <c r="C55" s="102" t="s">
        <v>76</v>
      </c>
      <c r="D55" s="126">
        <f>'Egresos F. MPal.'!H36</f>
        <v>3040</v>
      </c>
      <c r="E55" s="100">
        <f>'Egr. FODES 25%'!H34</f>
        <v>5000</v>
      </c>
      <c r="F55" s="269"/>
      <c r="G55" s="100"/>
      <c r="H55" s="100"/>
      <c r="I55" s="28"/>
      <c r="J55" s="100"/>
      <c r="K55" s="28">
        <f t="shared" si="5"/>
        <v>8040</v>
      </c>
      <c r="L55" s="230"/>
    </row>
    <row r="56" spans="2:12" ht="15.75" customHeight="1" x14ac:dyDescent="0.2">
      <c r="B56" s="110">
        <v>54116</v>
      </c>
      <c r="C56" s="102" t="s">
        <v>367</v>
      </c>
      <c r="D56" s="126">
        <f>'Egresos F. MPal.'!H37</f>
        <v>550</v>
      </c>
      <c r="E56" s="100">
        <f>'Egr. FODES 25%'!H35</f>
        <v>550</v>
      </c>
      <c r="F56" s="223"/>
      <c r="G56" s="100"/>
      <c r="H56" s="100"/>
      <c r="I56" s="28"/>
      <c r="J56" s="100"/>
      <c r="K56" s="28">
        <f t="shared" si="5"/>
        <v>1100</v>
      </c>
      <c r="L56" s="230"/>
    </row>
    <row r="57" spans="2:12" ht="15.75" customHeight="1" x14ac:dyDescent="0.2">
      <c r="B57" s="110">
        <v>54117</v>
      </c>
      <c r="C57" s="102" t="s">
        <v>528</v>
      </c>
      <c r="D57" s="126">
        <f>'Egresos F. MPal.'!H38</f>
        <v>600</v>
      </c>
      <c r="E57" s="100">
        <f>'Egr. FODES 25%'!H36</f>
        <v>600</v>
      </c>
      <c r="F57" s="223"/>
      <c r="G57" s="100" t="s">
        <v>659</v>
      </c>
      <c r="H57" s="100"/>
      <c r="I57" s="28"/>
      <c r="J57" s="100"/>
      <c r="K57" s="28">
        <f t="shared" si="5"/>
        <v>1200</v>
      </c>
      <c r="L57" s="230"/>
    </row>
    <row r="58" spans="2:12" ht="15.75" customHeight="1" x14ac:dyDescent="0.2">
      <c r="B58" s="110">
        <v>54118</v>
      </c>
      <c r="C58" s="102" t="s">
        <v>361</v>
      </c>
      <c r="D58" s="126">
        <f>'Egresos F. MPal.'!H39</f>
        <v>2575</v>
      </c>
      <c r="E58" s="100">
        <f>'Egr. FODES 25%'!H37</f>
        <v>1000</v>
      </c>
      <c r="F58" s="223">
        <v>65694</v>
      </c>
      <c r="G58" s="100"/>
      <c r="H58" s="100"/>
      <c r="I58" s="28"/>
      <c r="J58" s="100"/>
      <c r="K58" s="28">
        <f t="shared" si="5"/>
        <v>69269</v>
      </c>
      <c r="L58" s="230"/>
    </row>
    <row r="59" spans="2:12" ht="15.75" customHeight="1" x14ac:dyDescent="0.2">
      <c r="B59" s="110">
        <v>54119</v>
      </c>
      <c r="C59" s="102" t="s">
        <v>89</v>
      </c>
      <c r="D59" s="126">
        <f>'Egresos F. MPal.'!H40</f>
        <v>2605</v>
      </c>
      <c r="E59" s="100">
        <f>'Egr. FODES 25%'!H40</f>
        <v>1000</v>
      </c>
      <c r="F59" s="223">
        <v>14100</v>
      </c>
      <c r="G59" s="100"/>
      <c r="H59" s="100"/>
      <c r="I59" s="28"/>
      <c r="J59" s="100"/>
      <c r="K59" s="28">
        <f t="shared" si="5"/>
        <v>17705</v>
      </c>
      <c r="L59" s="230"/>
    </row>
    <row r="60" spans="2:12" ht="15.75" customHeight="1" x14ac:dyDescent="0.2">
      <c r="B60" s="110">
        <v>54121</v>
      </c>
      <c r="C60" s="102" t="s">
        <v>290</v>
      </c>
      <c r="D60" s="126"/>
      <c r="E60" s="100">
        <f>'Egr. FODES 25%'!H201</f>
        <v>1000</v>
      </c>
      <c r="F60" s="223"/>
      <c r="G60" s="100"/>
      <c r="H60" s="100"/>
      <c r="I60" s="28"/>
      <c r="J60" s="100"/>
      <c r="K60" s="28">
        <f t="shared" si="5"/>
        <v>1000</v>
      </c>
      <c r="L60" s="230"/>
    </row>
    <row r="61" spans="2:12" ht="15.75" customHeight="1" x14ac:dyDescent="0.2">
      <c r="B61" s="110">
        <v>54199</v>
      </c>
      <c r="C61" s="102" t="s">
        <v>291</v>
      </c>
      <c r="D61" s="126">
        <f>'Egresos F. MPal.'!H41</f>
        <v>3780</v>
      </c>
      <c r="E61" s="100">
        <f>'Egr. FODES 25%'!H42+'Egr. FODES 25%'!H202</f>
        <v>6000</v>
      </c>
      <c r="F61" s="223">
        <v>25655</v>
      </c>
      <c r="G61" s="100"/>
      <c r="H61" s="100"/>
      <c r="I61" s="502">
        <f>382879.15-5383.69</f>
        <v>377495.46</v>
      </c>
      <c r="J61" s="100"/>
      <c r="K61" s="28">
        <f t="shared" si="5"/>
        <v>412930.46</v>
      </c>
      <c r="L61" s="230"/>
    </row>
    <row r="62" spans="2:12" ht="15.75" customHeight="1" x14ac:dyDescent="0.2">
      <c r="B62" s="110"/>
      <c r="C62" s="102"/>
      <c r="D62" s="126"/>
      <c r="E62" s="100"/>
      <c r="F62" s="100"/>
      <c r="G62" s="100"/>
      <c r="H62" s="100"/>
      <c r="I62" s="100"/>
      <c r="J62" s="100"/>
      <c r="K62" s="100"/>
    </row>
    <row r="63" spans="2:12" ht="15.75" customHeight="1" x14ac:dyDescent="0.2">
      <c r="B63" s="305">
        <v>542</v>
      </c>
      <c r="C63" s="306" t="s">
        <v>292</v>
      </c>
      <c r="D63" s="410">
        <f>SUM(D64:D68)</f>
        <v>11978</v>
      </c>
      <c r="E63" s="307">
        <f>SUM(E64:E68)</f>
        <v>72095.260000000009</v>
      </c>
      <c r="F63" s="307">
        <f>SUM(F64:F68)</f>
        <v>0</v>
      </c>
      <c r="G63" s="307"/>
      <c r="H63" s="307">
        <f>SUM(H64:H68)</f>
        <v>0</v>
      </c>
      <c r="I63" s="307">
        <f>SUM(I64:I68)</f>
        <v>0</v>
      </c>
      <c r="J63" s="307">
        <f>SUM(J64:J68)</f>
        <v>0</v>
      </c>
      <c r="K63" s="307">
        <f>SUM(K64:K68)</f>
        <v>84073.260000000009</v>
      </c>
      <c r="L63" s="231"/>
    </row>
    <row r="64" spans="2:12" ht="15.75" customHeight="1" x14ac:dyDescent="0.2">
      <c r="B64" s="110">
        <v>54201</v>
      </c>
      <c r="C64" s="102" t="s">
        <v>42</v>
      </c>
      <c r="D64" s="126"/>
      <c r="E64" s="100">
        <f>'Egr. FODES 25%'!H43</f>
        <v>51218.380000000005</v>
      </c>
      <c r="F64" s="100"/>
      <c r="G64" s="100"/>
      <c r="H64" s="100"/>
      <c r="I64" s="28"/>
      <c r="J64" s="100"/>
      <c r="K64" s="28">
        <f>SUM(D64:J64)</f>
        <v>51218.380000000005</v>
      </c>
      <c r="L64" s="230"/>
    </row>
    <row r="65" spans="2:12" ht="15.75" customHeight="1" x14ac:dyDescent="0.2">
      <c r="B65" s="110">
        <v>54202</v>
      </c>
      <c r="C65" s="102" t="s">
        <v>43</v>
      </c>
      <c r="D65" s="126"/>
      <c r="E65" s="100">
        <f>'Egr. FODES 25%'!H44</f>
        <v>3000</v>
      </c>
      <c r="F65" s="100"/>
      <c r="G65" s="100"/>
      <c r="H65" s="100"/>
      <c r="I65" s="28"/>
      <c r="J65" s="100"/>
      <c r="K65" s="28">
        <f>SUM(D65:J65)</f>
        <v>3000</v>
      </c>
      <c r="L65" s="230"/>
    </row>
    <row r="66" spans="2:12" ht="15.75" customHeight="1" x14ac:dyDescent="0.2">
      <c r="B66" s="110">
        <v>54203</v>
      </c>
      <c r="C66" s="102" t="s">
        <v>44</v>
      </c>
      <c r="D66" s="126">
        <f>'Egresos F. MPal.'!H44</f>
        <v>2978</v>
      </c>
      <c r="E66" s="100">
        <f>'Egr. FODES 25%'!H45</f>
        <v>8876.880000000001</v>
      </c>
      <c r="F66" s="100"/>
      <c r="G66" s="100"/>
      <c r="H66" s="100"/>
      <c r="I66" s="28"/>
      <c r="J66" s="100"/>
      <c r="K66" s="28">
        <f>SUM(D66:J66)</f>
        <v>11854.880000000001</v>
      </c>
      <c r="L66" s="230"/>
    </row>
    <row r="67" spans="2:12" ht="15.75" customHeight="1" x14ac:dyDescent="0.2">
      <c r="B67" s="110">
        <v>54204</v>
      </c>
      <c r="C67" s="102" t="s">
        <v>529</v>
      </c>
      <c r="D67" s="126"/>
      <c r="E67" s="100"/>
      <c r="F67" s="100"/>
      <c r="G67" s="100"/>
      <c r="H67" s="100"/>
      <c r="I67" s="28"/>
      <c r="J67" s="100"/>
      <c r="K67" s="28">
        <f>SUM(D67:J67)</f>
        <v>0</v>
      </c>
      <c r="L67" s="230"/>
    </row>
    <row r="68" spans="2:12" ht="15.75" customHeight="1" x14ac:dyDescent="0.2">
      <c r="B68" s="110">
        <v>54205</v>
      </c>
      <c r="C68" s="102" t="s">
        <v>293</v>
      </c>
      <c r="D68" s="126">
        <v>9000</v>
      </c>
      <c r="E68" s="222">
        <v>9000</v>
      </c>
      <c r="F68" s="100"/>
      <c r="G68" s="100"/>
      <c r="H68" s="100"/>
      <c r="I68" s="100"/>
      <c r="J68" s="100">
        <f>SUM('Egresos F. MPal.'!M45)</f>
        <v>0</v>
      </c>
      <c r="K68" s="28">
        <f>SUM(D68:J68)</f>
        <v>18000</v>
      </c>
      <c r="L68" s="230"/>
    </row>
    <row r="69" spans="2:12" ht="15.75" customHeight="1" x14ac:dyDescent="0.2">
      <c r="B69" s="110"/>
      <c r="C69" s="102"/>
      <c r="D69" s="126"/>
      <c r="E69" s="100"/>
      <c r="F69" s="100"/>
      <c r="G69" s="100"/>
      <c r="H69" s="100"/>
      <c r="I69" s="100"/>
      <c r="J69" s="100"/>
      <c r="K69" s="100"/>
    </row>
    <row r="70" spans="2:12" ht="15.75" customHeight="1" x14ac:dyDescent="0.2">
      <c r="B70" s="305">
        <v>543</v>
      </c>
      <c r="C70" s="306" t="s">
        <v>340</v>
      </c>
      <c r="D70" s="410">
        <f>SUM(D71:D84)</f>
        <v>22222.16</v>
      </c>
      <c r="E70" s="307">
        <f>SUM(E71:E84)</f>
        <v>15275</v>
      </c>
      <c r="F70" s="307">
        <f>SUM(F71:F84)</f>
        <v>131928.52000000002</v>
      </c>
      <c r="G70" s="307"/>
      <c r="H70" s="307">
        <f>SUM(H71:H84)</f>
        <v>0</v>
      </c>
      <c r="I70" s="307">
        <f>SUM(I71:I84)</f>
        <v>0</v>
      </c>
      <c r="J70" s="307">
        <f>SUM(J71:J84)</f>
        <v>0</v>
      </c>
      <c r="K70" s="307">
        <f>SUM(K71:K84)</f>
        <v>169425.68</v>
      </c>
      <c r="L70" s="231"/>
    </row>
    <row r="71" spans="2:12" ht="15.75" customHeight="1" x14ac:dyDescent="0.2">
      <c r="B71" s="110">
        <v>54301</v>
      </c>
      <c r="C71" s="102" t="s">
        <v>294</v>
      </c>
      <c r="D71" s="126">
        <f>'Egresos F. MPal.'!H47</f>
        <v>497.15999999999997</v>
      </c>
      <c r="E71" s="100">
        <f>'Egr. FODES 25%'!H48+'Egr. FODES 25%'!H210</f>
        <v>1400</v>
      </c>
      <c r="F71" s="100"/>
      <c r="G71" s="100"/>
      <c r="H71" s="100"/>
      <c r="I71" s="28"/>
      <c r="J71" s="100"/>
      <c r="K71" s="28">
        <f t="shared" ref="K71:K84" si="6">SUM(D71:J71)</f>
        <v>1897.1599999999999</v>
      </c>
      <c r="L71" s="230"/>
    </row>
    <row r="72" spans="2:12" ht="15.75" customHeight="1" x14ac:dyDescent="0.2">
      <c r="B72" s="110">
        <v>54302</v>
      </c>
      <c r="C72" s="102" t="s">
        <v>295</v>
      </c>
      <c r="D72" s="126">
        <f>'Egresos F. MPal.'!H48</f>
        <v>1200</v>
      </c>
      <c r="E72" s="100">
        <f>'Egr. FODES 25%'!H49+'Egr. FODES 25%'!H211</f>
        <v>2200</v>
      </c>
      <c r="F72" s="126"/>
      <c r="G72" s="100"/>
      <c r="H72" s="100"/>
      <c r="I72" s="100"/>
      <c r="J72" s="100"/>
      <c r="K72" s="28">
        <f t="shared" si="6"/>
        <v>3400</v>
      </c>
      <c r="L72" s="230"/>
    </row>
    <row r="73" spans="2:12" ht="15.75" customHeight="1" x14ac:dyDescent="0.2">
      <c r="B73" s="110">
        <v>54303</v>
      </c>
      <c r="C73" s="102" t="s">
        <v>296</v>
      </c>
      <c r="D73" s="126">
        <f>'Egresos F. MPal.'!H49</f>
        <v>150</v>
      </c>
      <c r="E73" s="100">
        <f>'Egr. FODES 25%'!H50</f>
        <v>150</v>
      </c>
      <c r="F73" s="100"/>
      <c r="G73" s="100"/>
      <c r="H73" s="100"/>
      <c r="I73" s="28"/>
      <c r="J73" s="100"/>
      <c r="K73" s="28">
        <f t="shared" si="6"/>
        <v>300</v>
      </c>
      <c r="L73" s="230"/>
    </row>
    <row r="74" spans="2:12" x14ac:dyDescent="0.2">
      <c r="B74" s="110">
        <v>54304</v>
      </c>
      <c r="C74" s="102" t="s">
        <v>297</v>
      </c>
      <c r="D74" s="126">
        <f>'Egresos F. MPal.'!H50</f>
        <v>550</v>
      </c>
      <c r="E74" s="100">
        <f>'Egr. FODES 25%'!H51</f>
        <v>550</v>
      </c>
      <c r="F74" s="100">
        <v>7440</v>
      </c>
      <c r="G74" s="100"/>
      <c r="H74" s="100"/>
      <c r="I74" s="28"/>
      <c r="J74" s="100"/>
      <c r="K74" s="28">
        <f t="shared" si="6"/>
        <v>8540</v>
      </c>
      <c r="L74" s="230"/>
    </row>
    <row r="75" spans="2:12" x14ac:dyDescent="0.2">
      <c r="B75" s="110">
        <v>54305</v>
      </c>
      <c r="C75" s="102" t="s">
        <v>73</v>
      </c>
      <c r="D75" s="126">
        <f>'Egresos F. MPal.'!H51</f>
        <v>1100</v>
      </c>
      <c r="E75" s="100">
        <f>'Egr. FODES 25%'!H52</f>
        <v>1000</v>
      </c>
      <c r="F75" s="100">
        <v>1723.85</v>
      </c>
      <c r="G75" s="100"/>
      <c r="H75" s="100"/>
      <c r="I75" s="28"/>
      <c r="J75" s="100"/>
      <c r="K75" s="28">
        <f t="shared" si="6"/>
        <v>3823.85</v>
      </c>
      <c r="L75" s="230"/>
    </row>
    <row r="76" spans="2:12" x14ac:dyDescent="0.2">
      <c r="B76" s="110">
        <v>54307</v>
      </c>
      <c r="C76" s="102" t="s">
        <v>298</v>
      </c>
      <c r="D76" s="126"/>
      <c r="E76" s="100"/>
      <c r="F76" s="100"/>
      <c r="G76" s="100"/>
      <c r="H76" s="100"/>
      <c r="I76" s="28"/>
      <c r="J76" s="100"/>
      <c r="K76" s="28">
        <f t="shared" si="6"/>
        <v>0</v>
      </c>
      <c r="L76" s="230"/>
    </row>
    <row r="77" spans="2:12" x14ac:dyDescent="0.2">
      <c r="B77" s="106">
        <v>54308</v>
      </c>
      <c r="C77" s="105" t="s">
        <v>597</v>
      </c>
      <c r="D77" s="126"/>
      <c r="E77" s="100"/>
      <c r="F77" s="100"/>
      <c r="G77" s="100"/>
      <c r="H77" s="100"/>
      <c r="I77" s="28"/>
      <c r="J77" s="100"/>
      <c r="K77" s="28">
        <f t="shared" si="6"/>
        <v>0</v>
      </c>
      <c r="L77" s="230"/>
    </row>
    <row r="78" spans="2:12" x14ac:dyDescent="0.2">
      <c r="B78" s="106">
        <v>54310</v>
      </c>
      <c r="C78" s="105" t="s">
        <v>167</v>
      </c>
      <c r="D78" s="126"/>
      <c r="E78" s="100"/>
      <c r="F78" s="100"/>
      <c r="G78" s="100"/>
      <c r="H78" s="100"/>
      <c r="I78" s="28"/>
      <c r="J78" s="100"/>
      <c r="K78" s="28">
        <f t="shared" si="6"/>
        <v>0</v>
      </c>
      <c r="L78" s="230"/>
    </row>
    <row r="79" spans="2:12" x14ac:dyDescent="0.2">
      <c r="B79" s="106">
        <v>54311</v>
      </c>
      <c r="C79" s="105" t="s">
        <v>299</v>
      </c>
      <c r="D79" s="126"/>
      <c r="E79" s="100"/>
      <c r="F79" s="100"/>
      <c r="G79" s="100"/>
      <c r="H79" s="100"/>
      <c r="I79" s="28"/>
      <c r="J79" s="100"/>
      <c r="K79" s="28">
        <f t="shared" si="6"/>
        <v>0</v>
      </c>
      <c r="L79" s="230"/>
    </row>
    <row r="80" spans="2:12" x14ac:dyDescent="0.2">
      <c r="B80" s="106">
        <v>54313</v>
      </c>
      <c r="C80" s="105" t="s">
        <v>300</v>
      </c>
      <c r="D80" s="126">
        <f>'Egresos F. MPal.'!H56</f>
        <v>1100</v>
      </c>
      <c r="E80" s="100">
        <f>'Egr. FODES 25%'!H54</f>
        <v>1600</v>
      </c>
      <c r="F80" s="100"/>
      <c r="G80" s="100"/>
      <c r="H80" s="100"/>
      <c r="I80" s="28"/>
      <c r="J80" s="100"/>
      <c r="K80" s="28">
        <f t="shared" si="6"/>
        <v>2700</v>
      </c>
      <c r="L80" s="230"/>
    </row>
    <row r="81" spans="2:12" x14ac:dyDescent="0.2">
      <c r="B81" s="106">
        <v>54314</v>
      </c>
      <c r="C81" s="105" t="s">
        <v>79</v>
      </c>
      <c r="D81" s="126">
        <f>'Egresos F. MPal.'!H57</f>
        <v>7625</v>
      </c>
      <c r="E81" s="100">
        <f>'Egr. FODES 25%'!H55</f>
        <v>2625</v>
      </c>
      <c r="F81" s="100">
        <v>75583.02</v>
      </c>
      <c r="G81" s="100"/>
      <c r="H81" s="100"/>
      <c r="I81" s="100"/>
      <c r="J81" s="100"/>
      <c r="K81" s="28">
        <f t="shared" si="6"/>
        <v>85833.02</v>
      </c>
      <c r="L81" s="230"/>
    </row>
    <row r="82" spans="2:12" x14ac:dyDescent="0.2">
      <c r="B82" s="106">
        <v>54316</v>
      </c>
      <c r="C82" s="105" t="s">
        <v>181</v>
      </c>
      <c r="D82" s="126">
        <f>'Egresos F. MPal.'!H58</f>
        <v>750</v>
      </c>
      <c r="E82" s="100">
        <f>'Egr. FODES 25%'!H56</f>
        <v>750</v>
      </c>
      <c r="F82" s="100">
        <v>4001.65</v>
      </c>
      <c r="G82" s="100"/>
      <c r="H82" s="100"/>
      <c r="I82" s="28"/>
      <c r="J82" s="100"/>
      <c r="K82" s="28">
        <f t="shared" si="6"/>
        <v>5501.65</v>
      </c>
      <c r="L82" s="230"/>
    </row>
    <row r="83" spans="2:12" x14ac:dyDescent="0.2">
      <c r="B83" s="106">
        <v>54317</v>
      </c>
      <c r="C83" s="105" t="s">
        <v>301</v>
      </c>
      <c r="D83" s="126">
        <f>'Egresos F. MPal.'!H59</f>
        <v>7750</v>
      </c>
      <c r="E83" s="100">
        <f>'Egr. FODES 25%'!H57</f>
        <v>5000</v>
      </c>
      <c r="F83" s="100"/>
      <c r="G83" s="100"/>
      <c r="H83" s="100"/>
      <c r="I83" s="28"/>
      <c r="J83" s="100"/>
      <c r="K83" s="28">
        <f t="shared" si="6"/>
        <v>12750</v>
      </c>
      <c r="L83" s="230"/>
    </row>
    <row r="84" spans="2:12" x14ac:dyDescent="0.2">
      <c r="B84" s="106">
        <v>54399</v>
      </c>
      <c r="C84" s="105" t="s">
        <v>302</v>
      </c>
      <c r="D84" s="126">
        <f>'Egresos F. MPal.'!H60</f>
        <v>1500</v>
      </c>
      <c r="E84" s="100"/>
      <c r="F84" s="100">
        <v>43180</v>
      </c>
      <c r="G84" s="100"/>
      <c r="H84" s="100"/>
      <c r="I84" s="28"/>
      <c r="J84" s="100"/>
      <c r="K84" s="28">
        <f t="shared" si="6"/>
        <v>44680</v>
      </c>
      <c r="L84" s="230"/>
    </row>
    <row r="85" spans="2:12" x14ac:dyDescent="0.2">
      <c r="B85" s="106"/>
      <c r="C85" s="105"/>
      <c r="D85" s="126"/>
      <c r="E85" s="100"/>
      <c r="F85" s="100"/>
      <c r="G85" s="100"/>
      <c r="H85" s="100"/>
      <c r="I85" s="100"/>
      <c r="J85" s="100"/>
      <c r="K85" s="100"/>
    </row>
    <row r="86" spans="2:12" x14ac:dyDescent="0.2">
      <c r="B86" s="312">
        <v>544</v>
      </c>
      <c r="C86" s="313" t="s">
        <v>303</v>
      </c>
      <c r="D86" s="410">
        <f>SUM(D87:D90)</f>
        <v>0</v>
      </c>
      <c r="E86" s="307">
        <f>SUM(E87:E90)</f>
        <v>100</v>
      </c>
      <c r="F86" s="307">
        <f>SUM(F87:F89)</f>
        <v>0</v>
      </c>
      <c r="G86" s="307"/>
      <c r="H86" s="307">
        <f>SUM(H87:H89)</f>
        <v>0</v>
      </c>
      <c r="I86" s="307">
        <f>SUM(I87:I89)</f>
        <v>0</v>
      </c>
      <c r="J86" s="307">
        <f>SUM(J87:J89)</f>
        <v>0</v>
      </c>
      <c r="K86" s="307">
        <f>SUM(K87:K90)</f>
        <v>100</v>
      </c>
      <c r="L86" s="231"/>
    </row>
    <row r="87" spans="2:12" x14ac:dyDescent="0.2">
      <c r="B87" s="110">
        <v>54401</v>
      </c>
      <c r="C87" s="102" t="s">
        <v>227</v>
      </c>
      <c r="D87" s="126"/>
      <c r="E87" s="103"/>
      <c r="F87" s="103"/>
      <c r="G87" s="103"/>
      <c r="H87" s="103"/>
      <c r="I87" s="29"/>
      <c r="J87" s="100"/>
      <c r="K87" s="28">
        <f>SUM(D87:J87)</f>
        <v>0</v>
      </c>
      <c r="L87" s="230"/>
    </row>
    <row r="88" spans="2:12" x14ac:dyDescent="0.2">
      <c r="B88" s="106">
        <v>54402</v>
      </c>
      <c r="C88" s="105" t="s">
        <v>228</v>
      </c>
      <c r="D88" s="126"/>
      <c r="E88" s="100"/>
      <c r="F88" s="100"/>
      <c r="G88" s="100"/>
      <c r="H88" s="100"/>
      <c r="I88" s="28"/>
      <c r="J88" s="100"/>
      <c r="K88" s="28">
        <f>SUM(D88:J88)</f>
        <v>0</v>
      </c>
      <c r="L88" s="230"/>
    </row>
    <row r="89" spans="2:12" x14ac:dyDescent="0.2">
      <c r="B89" s="106">
        <v>54403</v>
      </c>
      <c r="C89" s="105" t="s">
        <v>304</v>
      </c>
      <c r="D89" s="126"/>
      <c r="E89" s="100">
        <v>100</v>
      </c>
      <c r="F89" s="100"/>
      <c r="G89" s="100"/>
      <c r="H89" s="100"/>
      <c r="I89" s="28"/>
      <c r="J89" s="100"/>
      <c r="K89" s="28">
        <f>SUM(D89:J89)</f>
        <v>100</v>
      </c>
      <c r="L89" s="230"/>
    </row>
    <row r="90" spans="2:12" x14ac:dyDescent="0.2">
      <c r="B90" s="106">
        <v>54404</v>
      </c>
      <c r="C90" s="105" t="s">
        <v>598</v>
      </c>
      <c r="D90" s="126"/>
      <c r="E90" s="100"/>
      <c r="F90" s="100"/>
      <c r="G90" s="100"/>
      <c r="H90" s="100"/>
      <c r="I90" s="28"/>
      <c r="J90" s="100"/>
      <c r="K90" s="28">
        <f>SUM(D90:J90)</f>
        <v>0</v>
      </c>
      <c r="L90" s="230"/>
    </row>
    <row r="91" spans="2:12" x14ac:dyDescent="0.2">
      <c r="B91" s="106"/>
      <c r="C91" s="105"/>
      <c r="D91" s="126"/>
      <c r="E91" s="100"/>
      <c r="F91" s="100"/>
      <c r="G91" s="100"/>
      <c r="H91" s="100"/>
      <c r="I91" s="100"/>
      <c r="J91" s="100"/>
      <c r="K91" s="100"/>
    </row>
    <row r="92" spans="2:12" ht="25.5" x14ac:dyDescent="0.2">
      <c r="B92" s="312">
        <v>545</v>
      </c>
      <c r="C92" s="313" t="s">
        <v>305</v>
      </c>
      <c r="D92" s="410">
        <f>SUM(D93:D98)</f>
        <v>2500</v>
      </c>
      <c r="E92" s="307">
        <f>SUM(E93:E98)</f>
        <v>33500</v>
      </c>
      <c r="F92" s="307">
        <f>SUM(F93:F98)</f>
        <v>0</v>
      </c>
      <c r="G92" s="307"/>
      <c r="H92" s="307">
        <f>SUM(H93:H98)</f>
        <v>0</v>
      </c>
      <c r="I92" s="307">
        <f>SUM(I93:I98)</f>
        <v>0</v>
      </c>
      <c r="J92" s="307">
        <f>SUM(J93:J98)</f>
        <v>0</v>
      </c>
      <c r="K92" s="307">
        <f>SUM(K93:K98)</f>
        <v>36000</v>
      </c>
      <c r="L92" s="231"/>
    </row>
    <row r="93" spans="2:12" x14ac:dyDescent="0.2">
      <c r="B93" s="106">
        <v>54502</v>
      </c>
      <c r="C93" s="105" t="s">
        <v>306</v>
      </c>
      <c r="D93" s="126"/>
      <c r="E93" s="100"/>
      <c r="F93" s="100"/>
      <c r="G93" s="100"/>
      <c r="H93" s="100"/>
      <c r="I93" s="28"/>
      <c r="J93" s="100"/>
      <c r="K93" s="28">
        <f t="shared" ref="K93:K98" si="7">SUM(D93:J93)</f>
        <v>0</v>
      </c>
      <c r="L93" s="230"/>
    </row>
    <row r="94" spans="2:12" x14ac:dyDescent="0.2">
      <c r="B94" s="106">
        <v>54503</v>
      </c>
      <c r="C94" s="105" t="s">
        <v>75</v>
      </c>
      <c r="D94" s="126">
        <f>'Egresos F. MPal.'!H66</f>
        <v>500</v>
      </c>
      <c r="E94" s="100">
        <f>'Egr. FODES 25%'!H61</f>
        <v>14500</v>
      </c>
      <c r="F94" s="100"/>
      <c r="G94" s="100"/>
      <c r="H94" s="100"/>
      <c r="I94" s="28"/>
      <c r="J94" s="100"/>
      <c r="K94" s="28">
        <f t="shared" si="7"/>
        <v>15000</v>
      </c>
      <c r="L94" s="230"/>
    </row>
    <row r="95" spans="2:12" x14ac:dyDescent="0.2">
      <c r="B95" s="106">
        <v>54504</v>
      </c>
      <c r="C95" s="105" t="s">
        <v>80</v>
      </c>
      <c r="D95" s="126">
        <f>'Egresos F. MPal.'!H67</f>
        <v>500</v>
      </c>
      <c r="E95" s="100">
        <f>'Egr. FODES 25%'!H62</f>
        <v>17000</v>
      </c>
      <c r="F95" s="100"/>
      <c r="G95" s="100"/>
      <c r="H95" s="100"/>
      <c r="I95" s="28"/>
      <c r="J95" s="100"/>
      <c r="K95" s="28">
        <f t="shared" si="7"/>
        <v>17500</v>
      </c>
      <c r="L95" s="230"/>
    </row>
    <row r="96" spans="2:12" x14ac:dyDescent="0.2">
      <c r="B96" s="106">
        <v>54505</v>
      </c>
      <c r="C96" s="105" t="s">
        <v>307</v>
      </c>
      <c r="D96" s="126">
        <f>'Egresos F. MPal.'!H68</f>
        <v>1000</v>
      </c>
      <c r="E96" s="100"/>
      <c r="F96" s="100"/>
      <c r="G96" s="100"/>
      <c r="H96" s="100"/>
      <c r="I96" s="100"/>
      <c r="J96" s="100"/>
      <c r="K96" s="28">
        <f t="shared" si="7"/>
        <v>1000</v>
      </c>
      <c r="L96" s="230"/>
    </row>
    <row r="97" spans="2:12" x14ac:dyDescent="0.2">
      <c r="B97" s="106">
        <v>54507</v>
      </c>
      <c r="C97" s="105" t="s">
        <v>308</v>
      </c>
      <c r="D97" s="126"/>
      <c r="E97" s="100"/>
      <c r="F97" s="100"/>
      <c r="G97" s="100"/>
      <c r="H97" s="100"/>
      <c r="I97" s="100"/>
      <c r="J97" s="100"/>
      <c r="K97" s="28">
        <f t="shared" si="7"/>
        <v>0</v>
      </c>
      <c r="L97" s="230"/>
    </row>
    <row r="98" spans="2:12" x14ac:dyDescent="0.2">
      <c r="B98" s="106">
        <v>54599</v>
      </c>
      <c r="C98" s="105" t="s">
        <v>305</v>
      </c>
      <c r="D98" s="126">
        <f>'Egresos F. MPal.'!H70</f>
        <v>500</v>
      </c>
      <c r="E98" s="100">
        <f>'Egr. FODES 25%'!H65</f>
        <v>2000</v>
      </c>
      <c r="F98" s="100"/>
      <c r="G98" s="100"/>
      <c r="H98" s="100"/>
      <c r="I98" s="28"/>
      <c r="J98" s="100"/>
      <c r="K98" s="28">
        <f t="shared" si="7"/>
        <v>2500</v>
      </c>
      <c r="L98" s="230"/>
    </row>
    <row r="99" spans="2:12" x14ac:dyDescent="0.2">
      <c r="B99" s="106"/>
      <c r="C99" s="105"/>
      <c r="D99" s="126"/>
      <c r="E99" s="100"/>
      <c r="F99" s="100"/>
      <c r="G99" s="100"/>
      <c r="H99" s="100"/>
      <c r="I99" s="28"/>
      <c r="J99" s="100"/>
      <c r="K99" s="28"/>
    </row>
    <row r="100" spans="2:12" x14ac:dyDescent="0.2">
      <c r="B100" s="312">
        <v>546</v>
      </c>
      <c r="C100" s="313" t="s">
        <v>309</v>
      </c>
      <c r="D100" s="410">
        <f>SUM(D101:D103)</f>
        <v>0</v>
      </c>
      <c r="E100" s="307">
        <f>SUM(E101:E103)</f>
        <v>0</v>
      </c>
      <c r="F100" s="307">
        <f>SUM(F101:F103)</f>
        <v>0</v>
      </c>
      <c r="G100" s="307"/>
      <c r="H100" s="307">
        <f>SUM(H101:H103)</f>
        <v>0</v>
      </c>
      <c r="I100" s="307">
        <f>SUM(I101:I103)</f>
        <v>0</v>
      </c>
      <c r="J100" s="307">
        <f>SUM(J101:J103)</f>
        <v>0</v>
      </c>
      <c r="K100" s="307">
        <f>SUM(K101:K103)</f>
        <v>0</v>
      </c>
      <c r="L100" s="231"/>
    </row>
    <row r="101" spans="2:12" x14ac:dyDescent="0.2">
      <c r="B101" s="106">
        <v>54602</v>
      </c>
      <c r="C101" s="105" t="s">
        <v>186</v>
      </c>
      <c r="D101" s="126"/>
      <c r="E101" s="100"/>
      <c r="F101" s="100"/>
      <c r="G101" s="100"/>
      <c r="H101" s="100"/>
      <c r="I101" s="100"/>
      <c r="J101" s="100"/>
      <c r="K101" s="28">
        <f>SUM(D101:J101)</f>
        <v>0</v>
      </c>
      <c r="L101" s="230"/>
    </row>
    <row r="102" spans="2:12" x14ac:dyDescent="0.2">
      <c r="B102" s="106">
        <v>54603</v>
      </c>
      <c r="C102" s="105" t="s">
        <v>310</v>
      </c>
      <c r="D102" s="126"/>
      <c r="E102" s="100"/>
      <c r="F102" s="100"/>
      <c r="G102" s="100"/>
      <c r="H102" s="100"/>
      <c r="I102" s="100"/>
      <c r="J102" s="100"/>
      <c r="K102" s="28">
        <f>SUM(D102:J102)</f>
        <v>0</v>
      </c>
      <c r="L102" s="230"/>
    </row>
    <row r="103" spans="2:12" x14ac:dyDescent="0.2">
      <c r="B103" s="106">
        <v>54699</v>
      </c>
      <c r="C103" s="105" t="s">
        <v>27</v>
      </c>
      <c r="D103" s="126"/>
      <c r="E103" s="100"/>
      <c r="F103" s="100"/>
      <c r="G103" s="100"/>
      <c r="H103" s="100"/>
      <c r="I103" s="28"/>
      <c r="J103" s="100"/>
      <c r="K103" s="28">
        <f>SUM(D103:J103)</f>
        <v>0</v>
      </c>
      <c r="L103" s="230"/>
    </row>
    <row r="104" spans="2:12" x14ac:dyDescent="0.2">
      <c r="B104" s="106"/>
      <c r="C104" s="105"/>
      <c r="D104" s="126"/>
      <c r="E104" s="100"/>
      <c r="F104" s="100"/>
      <c r="G104" s="100"/>
      <c r="H104" s="100"/>
      <c r="I104" s="28"/>
      <c r="J104" s="100"/>
      <c r="K104" s="28"/>
    </row>
    <row r="105" spans="2:12" x14ac:dyDescent="0.2">
      <c r="B105" s="322">
        <v>55</v>
      </c>
      <c r="C105" s="323" t="s">
        <v>341</v>
      </c>
      <c r="D105" s="410">
        <f>+D106+D111</f>
        <v>3200</v>
      </c>
      <c r="E105" s="321">
        <f>+E106+E111</f>
        <v>6200</v>
      </c>
      <c r="F105" s="321">
        <f>+F106+F111</f>
        <v>250</v>
      </c>
      <c r="G105" s="321"/>
      <c r="H105" s="321">
        <f>+H106+H111</f>
        <v>0</v>
      </c>
      <c r="I105" s="321">
        <f>+I106+I111</f>
        <v>0</v>
      </c>
      <c r="J105" s="321">
        <f>+J106+J111</f>
        <v>10</v>
      </c>
      <c r="K105" s="321">
        <f>+K106+K111</f>
        <v>9660</v>
      </c>
      <c r="L105" s="232"/>
    </row>
    <row r="106" spans="2:12" ht="13.5" customHeight="1" x14ac:dyDescent="0.2">
      <c r="B106" s="312">
        <v>556</v>
      </c>
      <c r="C106" s="313" t="s">
        <v>325</v>
      </c>
      <c r="D106" s="410">
        <f>SUM(D107:D110)</f>
        <v>3100</v>
      </c>
      <c r="E106" s="307">
        <f>SUM(E107:E109)</f>
        <v>6100</v>
      </c>
      <c r="F106" s="307">
        <f>SUM(F107:F109)</f>
        <v>250</v>
      </c>
      <c r="G106" s="307"/>
      <c r="H106" s="307">
        <f>SUM(H107:H109)</f>
        <v>0</v>
      </c>
      <c r="I106" s="307">
        <f>SUM(I107:I109)</f>
        <v>0</v>
      </c>
      <c r="J106" s="307">
        <f>SUM(J107:J109)</f>
        <v>10</v>
      </c>
      <c r="K106" s="307">
        <f>SUM(K107:K110)</f>
        <v>9460</v>
      </c>
      <c r="L106" s="231"/>
    </row>
    <row r="107" spans="2:12" ht="25.5" customHeight="1" x14ac:dyDescent="0.2">
      <c r="B107" s="106">
        <v>55601</v>
      </c>
      <c r="C107" s="105" t="s">
        <v>337</v>
      </c>
      <c r="D107" s="126">
        <f>'Egresos F. MPal.'!H73</f>
        <v>1000</v>
      </c>
      <c r="E107" s="500">
        <v>1000</v>
      </c>
      <c r="F107" s="100"/>
      <c r="G107" s="100"/>
      <c r="H107" s="100"/>
      <c r="I107" s="28"/>
      <c r="J107" s="100"/>
      <c r="K107" s="28">
        <f>SUM(D107:J107)</f>
        <v>2000</v>
      </c>
      <c r="L107" s="230"/>
    </row>
    <row r="108" spans="2:12" ht="13.5" customHeight="1" x14ac:dyDescent="0.2">
      <c r="B108" s="106">
        <v>55602</v>
      </c>
      <c r="C108" s="105" t="s">
        <v>231</v>
      </c>
      <c r="D108" s="126">
        <f>'Egresos F. MPal.'!H74</f>
        <v>2000</v>
      </c>
      <c r="E108" s="500">
        <v>5000</v>
      </c>
      <c r="F108" s="126"/>
      <c r="G108" s="100"/>
      <c r="H108" s="100"/>
      <c r="I108" s="28"/>
      <c r="J108" s="100"/>
      <c r="K108" s="28">
        <f>SUM(D108:J108)</f>
        <v>7000</v>
      </c>
    </row>
    <row r="109" spans="2:12" x14ac:dyDescent="0.2">
      <c r="B109" s="106">
        <v>55603</v>
      </c>
      <c r="C109" s="105" t="s">
        <v>168</v>
      </c>
      <c r="D109" s="126">
        <f>'Egresos F. MPal.'!H75</f>
        <v>100</v>
      </c>
      <c r="E109" s="100">
        <f>'Egr. FODES 25%'!H71</f>
        <v>100</v>
      </c>
      <c r="F109" s="100">
        <v>250</v>
      </c>
      <c r="G109" s="100"/>
      <c r="H109" s="126"/>
      <c r="I109" s="28"/>
      <c r="J109" s="100">
        <v>10</v>
      </c>
      <c r="K109" s="28">
        <f>SUM(D109:J109)</f>
        <v>460</v>
      </c>
    </row>
    <row r="110" spans="2:12" x14ac:dyDescent="0.2">
      <c r="B110" s="106"/>
      <c r="C110" s="105"/>
      <c r="D110" s="126"/>
      <c r="E110" s="100"/>
      <c r="F110" s="100"/>
      <c r="G110" s="100"/>
      <c r="H110" s="126"/>
      <c r="I110" s="28"/>
      <c r="J110" s="100"/>
      <c r="K110" s="28"/>
    </row>
    <row r="111" spans="2:12" x14ac:dyDescent="0.2">
      <c r="B111" s="312">
        <v>557</v>
      </c>
      <c r="C111" s="313" t="s">
        <v>338</v>
      </c>
      <c r="D111" s="410">
        <f>SUM(D112:D112)</f>
        <v>100</v>
      </c>
      <c r="E111" s="307">
        <f t="shared" ref="E111:K111" si="8">+E112</f>
        <v>100</v>
      </c>
      <c r="F111" s="307">
        <f t="shared" si="8"/>
        <v>0</v>
      </c>
      <c r="G111" s="307"/>
      <c r="H111" s="307">
        <f t="shared" si="8"/>
        <v>0</v>
      </c>
      <c r="I111" s="307">
        <f t="shared" si="8"/>
        <v>0</v>
      </c>
      <c r="J111" s="307">
        <f>SUM(J112:J112)</f>
        <v>0</v>
      </c>
      <c r="K111" s="307">
        <f t="shared" si="8"/>
        <v>200</v>
      </c>
    </row>
    <row r="112" spans="2:12" x14ac:dyDescent="0.2">
      <c r="B112" s="106">
        <v>55703</v>
      </c>
      <c r="C112" s="445" t="s">
        <v>169</v>
      </c>
      <c r="D112" s="126">
        <f>'Egresos F. MPal.'!H76</f>
        <v>100</v>
      </c>
      <c r="E112" s="100">
        <v>100</v>
      </c>
      <c r="F112" s="100"/>
      <c r="G112" s="100"/>
      <c r="H112" s="126"/>
      <c r="I112" s="28"/>
      <c r="J112" s="100"/>
      <c r="K112" s="28">
        <f>SUM(D112:J112)</f>
        <v>200</v>
      </c>
    </row>
    <row r="113" spans="2:12" x14ac:dyDescent="0.2">
      <c r="B113" s="106"/>
      <c r="C113" s="105"/>
      <c r="D113" s="126"/>
      <c r="E113" s="100"/>
      <c r="F113" s="100"/>
      <c r="G113" s="100"/>
      <c r="H113" s="126"/>
      <c r="I113" s="28"/>
      <c r="J113" s="100"/>
      <c r="K113" s="28"/>
    </row>
    <row r="114" spans="2:12" x14ac:dyDescent="0.2">
      <c r="B114" s="218">
        <v>56</v>
      </c>
      <c r="C114" s="219" t="s">
        <v>270</v>
      </c>
      <c r="D114" s="410">
        <f>+D115+D118</f>
        <v>9000</v>
      </c>
      <c r="E114" s="217">
        <f>+E115+E118</f>
        <v>8400</v>
      </c>
      <c r="F114" s="217">
        <f>+F115+F118</f>
        <v>18000</v>
      </c>
      <c r="G114" s="217"/>
      <c r="H114" s="217">
        <f>+H115+H118</f>
        <v>0</v>
      </c>
      <c r="I114" s="217">
        <f>+I115+I118</f>
        <v>0</v>
      </c>
      <c r="J114" s="217">
        <f>+J115+J118</f>
        <v>4357.3999999999996</v>
      </c>
      <c r="K114" s="217">
        <f>+K115+K118</f>
        <v>39757.4</v>
      </c>
      <c r="L114" s="213"/>
    </row>
    <row r="115" spans="2:12" x14ac:dyDescent="0.2">
      <c r="B115" s="312">
        <v>562</v>
      </c>
      <c r="C115" s="313" t="s">
        <v>328</v>
      </c>
      <c r="D115" s="410">
        <f>+D116</f>
        <v>0</v>
      </c>
      <c r="E115" s="307">
        <f t="shared" ref="E115:K115" si="9">+E116</f>
        <v>8400</v>
      </c>
      <c r="F115" s="307">
        <f t="shared" si="9"/>
        <v>0</v>
      </c>
      <c r="G115" s="307"/>
      <c r="H115" s="307">
        <f t="shared" si="9"/>
        <v>0</v>
      </c>
      <c r="I115" s="307">
        <f t="shared" si="9"/>
        <v>0</v>
      </c>
      <c r="J115" s="307">
        <f>+J116</f>
        <v>0</v>
      </c>
      <c r="K115" s="307">
        <f t="shared" si="9"/>
        <v>8400</v>
      </c>
    </row>
    <row r="116" spans="2:12" x14ac:dyDescent="0.2">
      <c r="B116" s="106">
        <v>56201</v>
      </c>
      <c r="C116" s="105" t="s">
        <v>328</v>
      </c>
      <c r="D116" s="126"/>
      <c r="E116" s="100">
        <f>'Egr. FODES 25%'!H74</f>
        <v>8400</v>
      </c>
      <c r="F116" s="100"/>
      <c r="G116" s="100"/>
      <c r="H116" s="126"/>
      <c r="I116" s="28"/>
      <c r="J116" s="100"/>
      <c r="K116" s="28">
        <f>SUM(D116:J116)</f>
        <v>8400</v>
      </c>
    </row>
    <row r="117" spans="2:12" x14ac:dyDescent="0.2">
      <c r="B117" s="106"/>
      <c r="C117" s="105"/>
      <c r="D117" s="126"/>
      <c r="E117" s="100"/>
      <c r="F117" s="100"/>
      <c r="G117" s="100"/>
      <c r="H117" s="126"/>
      <c r="I117" s="28"/>
      <c r="J117" s="100"/>
      <c r="K117" s="28"/>
    </row>
    <row r="118" spans="2:12" ht="25.5" x14ac:dyDescent="0.2">
      <c r="B118" s="312">
        <v>563</v>
      </c>
      <c r="C118" s="313" t="s">
        <v>326</v>
      </c>
      <c r="D118" s="410">
        <f>+D120+D121+D122+D119</f>
        <v>9000</v>
      </c>
      <c r="E118" s="307">
        <f>+E120+E121+E122+E119</f>
        <v>0</v>
      </c>
      <c r="F118" s="307">
        <f>+F120+F121+F122</f>
        <v>18000</v>
      </c>
      <c r="G118" s="307"/>
      <c r="H118" s="307">
        <f>+H120</f>
        <v>0</v>
      </c>
      <c r="I118" s="307">
        <f>+I120</f>
        <v>0</v>
      </c>
      <c r="J118" s="307">
        <f>SUM(J120:J121)</f>
        <v>4357.3999999999996</v>
      </c>
      <c r="K118" s="307">
        <f>SUM(D118:J118)</f>
        <v>31357.4</v>
      </c>
    </row>
    <row r="119" spans="2:12" ht="38.25" x14ac:dyDescent="0.2">
      <c r="B119" s="271">
        <v>56301</v>
      </c>
      <c r="C119" s="270" t="s">
        <v>599</v>
      </c>
      <c r="D119" s="126">
        <f>'Egresos F. MPal.'!H78</f>
        <v>5000</v>
      </c>
      <c r="E119" s="222"/>
      <c r="F119" s="108"/>
      <c r="G119" s="108"/>
      <c r="H119" s="108"/>
      <c r="I119" s="108"/>
      <c r="J119" s="108"/>
      <c r="K119" s="28">
        <f>SUM(D119:J119)</f>
        <v>5000</v>
      </c>
    </row>
    <row r="120" spans="2:12" x14ac:dyDescent="0.2">
      <c r="B120" s="106">
        <v>56303</v>
      </c>
      <c r="C120" s="105" t="s">
        <v>311</v>
      </c>
      <c r="D120" s="126">
        <f>'Egresos F. MPal.'!H79</f>
        <v>2000</v>
      </c>
      <c r="E120" s="100"/>
      <c r="F120" s="100">
        <v>2000</v>
      </c>
      <c r="G120" s="100"/>
      <c r="H120" s="126"/>
      <c r="I120" s="28"/>
      <c r="J120" s="100"/>
      <c r="K120" s="28">
        <f>SUM(D120:J120)</f>
        <v>4000</v>
      </c>
    </row>
    <row r="121" spans="2:12" x14ac:dyDescent="0.2">
      <c r="B121" s="106">
        <v>56304</v>
      </c>
      <c r="C121" s="105" t="s">
        <v>368</v>
      </c>
      <c r="D121" s="126">
        <f>'Egresos F. MPal.'!H80</f>
        <v>2000</v>
      </c>
      <c r="E121" s="100"/>
      <c r="F121" s="100"/>
      <c r="G121" s="100"/>
      <c r="H121" s="126"/>
      <c r="I121" s="28"/>
      <c r="J121" s="100">
        <v>4357.3999999999996</v>
      </c>
      <c r="K121" s="28">
        <f>SUM(D121:J121)</f>
        <v>6357.4</v>
      </c>
    </row>
    <row r="122" spans="2:12" x14ac:dyDescent="0.2">
      <c r="B122" s="106">
        <v>56305</v>
      </c>
      <c r="C122" s="105" t="s">
        <v>564</v>
      </c>
      <c r="D122" s="126"/>
      <c r="E122" s="100"/>
      <c r="F122" s="100">
        <v>16000</v>
      </c>
      <c r="G122" s="100"/>
      <c r="H122" s="126"/>
      <c r="I122" s="28"/>
      <c r="J122" s="100"/>
      <c r="K122" s="28">
        <f>SUM(D122:J122)</f>
        <v>16000</v>
      </c>
    </row>
    <row r="123" spans="2:12" x14ac:dyDescent="0.2">
      <c r="B123" s="106"/>
      <c r="C123" s="105"/>
      <c r="D123" s="126"/>
      <c r="E123" s="100"/>
      <c r="F123" s="100"/>
      <c r="G123" s="100"/>
      <c r="H123" s="126"/>
      <c r="I123" s="28"/>
      <c r="J123" s="100"/>
      <c r="K123" s="28"/>
    </row>
    <row r="124" spans="2:12" x14ac:dyDescent="0.2">
      <c r="B124" s="322">
        <v>61</v>
      </c>
      <c r="C124" s="323" t="s">
        <v>312</v>
      </c>
      <c r="D124" s="410">
        <f>+D125+D134+D139</f>
        <v>2500</v>
      </c>
      <c r="E124" s="321">
        <f>+E125+E134+E139</f>
        <v>25000</v>
      </c>
      <c r="F124" s="321">
        <f>+F125+F134+F139</f>
        <v>1467923.98</v>
      </c>
      <c r="G124" s="321"/>
      <c r="H124" s="321">
        <f>+H125+H134+H139</f>
        <v>0</v>
      </c>
      <c r="I124" s="321">
        <f>+I125+I134+I139</f>
        <v>0</v>
      </c>
      <c r="J124" s="321">
        <f>+J125+J134+J139</f>
        <v>0</v>
      </c>
      <c r="K124" s="321">
        <f>+K125+K134+K139</f>
        <v>2252721.44</v>
      </c>
      <c r="L124" s="213"/>
    </row>
    <row r="125" spans="2:12" x14ac:dyDescent="0.2">
      <c r="B125" s="312">
        <v>611</v>
      </c>
      <c r="C125" s="313" t="s">
        <v>313</v>
      </c>
      <c r="D125" s="410">
        <f>SUM(D126:D132)</f>
        <v>2500</v>
      </c>
      <c r="E125" s="307">
        <f>SUM(E126:E132)</f>
        <v>25000</v>
      </c>
      <c r="F125" s="307">
        <f>SUM(F126:F132)</f>
        <v>27100</v>
      </c>
      <c r="G125" s="307"/>
      <c r="H125" s="307">
        <f>SUM(H126:H132)</f>
        <v>0</v>
      </c>
      <c r="I125" s="307">
        <f>SUM(I126:I132)</f>
        <v>0</v>
      </c>
      <c r="J125" s="307">
        <f>SUM(J126:J132)</f>
        <v>0</v>
      </c>
      <c r="K125" s="307">
        <f>SUM(K126:K132)</f>
        <v>54600</v>
      </c>
    </row>
    <row r="126" spans="2:12" x14ac:dyDescent="0.2">
      <c r="B126" s="106">
        <v>61101</v>
      </c>
      <c r="C126" s="105" t="s">
        <v>171</v>
      </c>
      <c r="D126" s="126">
        <f>'Egresos F. MPal.'!H81</f>
        <v>2500</v>
      </c>
      <c r="E126" s="100">
        <f>'Egr. FODES 25%'!H78</f>
        <v>5000</v>
      </c>
      <c r="F126" s="100"/>
      <c r="G126" s="100"/>
      <c r="H126" s="100"/>
      <c r="I126" s="28"/>
      <c r="J126" s="100"/>
      <c r="K126" s="28">
        <f t="shared" ref="K126:K132" si="10">SUM(D126:J126)</f>
        <v>7500</v>
      </c>
    </row>
    <row r="127" spans="2:12" x14ac:dyDescent="0.2">
      <c r="B127" s="106">
        <v>61102</v>
      </c>
      <c r="C127" s="105" t="s">
        <v>339</v>
      </c>
      <c r="D127" s="126"/>
      <c r="E127" s="500">
        <v>10000</v>
      </c>
      <c r="F127" s="100"/>
      <c r="G127" s="100"/>
      <c r="H127" s="100"/>
      <c r="I127" s="28"/>
      <c r="J127" s="100"/>
      <c r="K127" s="28">
        <f t="shared" si="10"/>
        <v>10000</v>
      </c>
    </row>
    <row r="128" spans="2:12" x14ac:dyDescent="0.2">
      <c r="B128" s="106">
        <v>61104</v>
      </c>
      <c r="C128" s="105" t="s">
        <v>314</v>
      </c>
      <c r="D128" s="126"/>
      <c r="E128" s="100">
        <f>'Egr. FODES 25%'!H80</f>
        <v>10000</v>
      </c>
      <c r="F128" s="100"/>
      <c r="G128" s="100"/>
      <c r="H128" s="100"/>
      <c r="I128" s="28"/>
      <c r="J128" s="100"/>
      <c r="K128" s="28">
        <f t="shared" si="10"/>
        <v>10000</v>
      </c>
    </row>
    <row r="129" spans="2:12" x14ac:dyDescent="0.2">
      <c r="B129" s="106">
        <v>61105</v>
      </c>
      <c r="C129" s="105" t="s">
        <v>568</v>
      </c>
      <c r="D129" s="126"/>
      <c r="E129" s="100"/>
      <c r="F129" s="100">
        <v>23010</v>
      </c>
      <c r="G129" s="100"/>
      <c r="H129" s="100"/>
      <c r="I129" s="28"/>
      <c r="J129" s="100"/>
      <c r="K129" s="28">
        <f>SUM(D129:J129)</f>
        <v>23010</v>
      </c>
      <c r="L129" s="225"/>
    </row>
    <row r="130" spans="2:12" x14ac:dyDescent="0.2">
      <c r="B130" s="106">
        <v>61108</v>
      </c>
      <c r="C130" s="105" t="s">
        <v>566</v>
      </c>
      <c r="D130" s="126"/>
      <c r="E130" s="100"/>
      <c r="F130" s="100">
        <v>500</v>
      </c>
      <c r="G130" s="100"/>
      <c r="H130" s="100"/>
      <c r="I130" s="28"/>
      <c r="J130" s="100"/>
      <c r="K130" s="28">
        <f t="shared" si="10"/>
        <v>500</v>
      </c>
    </row>
    <row r="131" spans="2:12" x14ac:dyDescent="0.2">
      <c r="B131" s="106">
        <v>61109</v>
      </c>
      <c r="C131" s="105" t="s">
        <v>629</v>
      </c>
      <c r="D131" s="126"/>
      <c r="E131" s="100"/>
      <c r="F131" s="100">
        <v>400</v>
      </c>
      <c r="G131" s="100"/>
      <c r="H131" s="100"/>
      <c r="I131" s="28"/>
      <c r="J131" s="100"/>
      <c r="K131" s="28">
        <f>SUM(F131:J131)</f>
        <v>400</v>
      </c>
    </row>
    <row r="132" spans="2:12" x14ac:dyDescent="0.2">
      <c r="B132" s="106">
        <v>61199</v>
      </c>
      <c r="C132" s="105" t="s">
        <v>170</v>
      </c>
      <c r="D132" s="126"/>
      <c r="E132" s="100"/>
      <c r="F132" s="100">
        <v>3190</v>
      </c>
      <c r="G132" s="100"/>
      <c r="H132" s="100"/>
      <c r="I132" s="28"/>
      <c r="J132" s="100"/>
      <c r="K132" s="28">
        <f t="shared" si="10"/>
        <v>3190</v>
      </c>
    </row>
    <row r="133" spans="2:12" x14ac:dyDescent="0.2">
      <c r="B133" s="106"/>
      <c r="C133" s="105"/>
      <c r="D133" s="126"/>
      <c r="E133" s="100"/>
      <c r="F133" s="100"/>
      <c r="G133" s="100"/>
      <c r="H133" s="100"/>
      <c r="I133" s="28"/>
      <c r="J133" s="100"/>
      <c r="K133" s="28"/>
    </row>
    <row r="134" spans="2:12" x14ac:dyDescent="0.2">
      <c r="B134" s="312">
        <v>615</v>
      </c>
      <c r="C134" s="313" t="s">
        <v>315</v>
      </c>
      <c r="D134" s="410">
        <f>SUM(D135:D137)</f>
        <v>0</v>
      </c>
      <c r="E134" s="307">
        <f t="shared" ref="E134:K134" si="11">SUM(E135:E137)</f>
        <v>0</v>
      </c>
      <c r="F134" s="307">
        <f t="shared" si="11"/>
        <v>50000</v>
      </c>
      <c r="G134" s="307">
        <f>G137</f>
        <v>15000</v>
      </c>
      <c r="H134" s="307">
        <f t="shared" si="11"/>
        <v>0</v>
      </c>
      <c r="I134" s="307">
        <f t="shared" si="11"/>
        <v>0</v>
      </c>
      <c r="J134" s="307">
        <f>SUM(J135:J137)</f>
        <v>0</v>
      </c>
      <c r="K134" s="307">
        <f t="shared" si="11"/>
        <v>65000</v>
      </c>
    </row>
    <row r="135" spans="2:12" x14ac:dyDescent="0.2">
      <c r="B135" s="106">
        <v>61502</v>
      </c>
      <c r="C135" s="105" t="s">
        <v>316</v>
      </c>
      <c r="D135" s="126"/>
      <c r="E135" s="100"/>
      <c r="F135" s="100"/>
      <c r="G135" s="100"/>
      <c r="H135" s="100"/>
      <c r="I135" s="28"/>
      <c r="J135" s="100"/>
      <c r="K135" s="28">
        <f>SUM(D135:J135)</f>
        <v>0</v>
      </c>
    </row>
    <row r="136" spans="2:12" x14ac:dyDescent="0.2">
      <c r="B136" s="106">
        <v>61503</v>
      </c>
      <c r="C136" s="105" t="s">
        <v>317</v>
      </c>
      <c r="D136" s="126"/>
      <c r="E136" s="100"/>
      <c r="F136" s="100"/>
      <c r="G136" s="100"/>
      <c r="H136" s="100"/>
      <c r="I136" s="28"/>
      <c r="J136" s="100"/>
      <c r="K136" s="28">
        <f>SUM(D136:J136)</f>
        <v>0</v>
      </c>
    </row>
    <row r="137" spans="2:12" x14ac:dyDescent="0.2">
      <c r="B137" s="271">
        <v>61599</v>
      </c>
      <c r="C137" s="270" t="s">
        <v>318</v>
      </c>
      <c r="D137" s="126"/>
      <c r="E137" s="100"/>
      <c r="F137" s="126">
        <v>50000</v>
      </c>
      <c r="G137" s="100">
        <v>15000</v>
      </c>
      <c r="H137" s="100"/>
      <c r="I137" s="28"/>
      <c r="J137" s="100"/>
      <c r="K137" s="28">
        <f>SUM(D137:J137)</f>
        <v>65000</v>
      </c>
    </row>
    <row r="138" spans="2:12" x14ac:dyDescent="0.2">
      <c r="B138" s="106"/>
      <c r="C138" s="450" t="s">
        <v>702</v>
      </c>
      <c r="D138" s="126"/>
      <c r="E138" s="100"/>
      <c r="F138" s="100"/>
      <c r="G138" s="100"/>
      <c r="H138" s="100"/>
      <c r="I138" s="28"/>
      <c r="J138" s="100"/>
      <c r="K138" s="28"/>
      <c r="L138" s="213"/>
    </row>
    <row r="139" spans="2:12" ht="15" x14ac:dyDescent="0.2">
      <c r="B139" s="312">
        <v>616</v>
      </c>
      <c r="C139" s="313" t="s">
        <v>319</v>
      </c>
      <c r="D139" s="410">
        <f>SUM(D140:D146)</f>
        <v>0</v>
      </c>
      <c r="E139" s="307">
        <f>SUM(E140:E146)</f>
        <v>0</v>
      </c>
      <c r="F139" s="475">
        <f>F140+F142+F145</f>
        <v>1390823.98</v>
      </c>
      <c r="G139" s="307">
        <f>G141+G145</f>
        <v>742297.46000000008</v>
      </c>
      <c r="H139" s="307">
        <f>SUM(H140:H146)</f>
        <v>0</v>
      </c>
      <c r="I139" s="307">
        <f>SUM(I140:I146)</f>
        <v>0</v>
      </c>
      <c r="J139" s="307">
        <f>SUM(J140:J146)</f>
        <v>0</v>
      </c>
      <c r="K139" s="307">
        <f>SUM(K140:K147)</f>
        <v>2133121.44</v>
      </c>
    </row>
    <row r="140" spans="2:12" x14ac:dyDescent="0.2">
      <c r="B140" s="106">
        <v>61601</v>
      </c>
      <c r="C140" s="105" t="s">
        <v>600</v>
      </c>
      <c r="D140" s="126"/>
      <c r="E140" s="100"/>
      <c r="F140" s="108">
        <f>1294883.15-661280.27-552274.72-15990+812598.43-50000+93914.07-5377.33</f>
        <v>916473.33</v>
      </c>
      <c r="G140" s="100"/>
      <c r="H140" s="100"/>
      <c r="I140" s="28"/>
      <c r="J140" s="100"/>
      <c r="K140" s="28">
        <f t="shared" ref="K140:K146" si="12">SUM(D140:J140)</f>
        <v>916473.33</v>
      </c>
    </row>
    <row r="141" spans="2:12" x14ac:dyDescent="0.2">
      <c r="B141" s="106">
        <v>61601</v>
      </c>
      <c r="C141" s="105" t="s">
        <v>601</v>
      </c>
      <c r="D141" s="126"/>
      <c r="E141" s="100"/>
      <c r="F141" s="100"/>
      <c r="G141" s="100">
        <f>710744.07+33624.84+307949.24-1597.89-2071.45-321351.35</f>
        <v>727297.46000000008</v>
      </c>
      <c r="H141" s="100"/>
      <c r="I141" s="28"/>
      <c r="J141" s="100"/>
      <c r="K141" s="28">
        <f>SUM(D141:J141)</f>
        <v>727297.46000000008</v>
      </c>
    </row>
    <row r="142" spans="2:12" x14ac:dyDescent="0.2">
      <c r="B142" s="106">
        <v>61602</v>
      </c>
      <c r="C142" s="105" t="s">
        <v>247</v>
      </c>
      <c r="D142" s="126"/>
      <c r="E142" s="100"/>
      <c r="F142" s="222">
        <f>552274.72-93914.07</f>
        <v>458360.64999999997</v>
      </c>
      <c r="G142" s="100"/>
      <c r="H142" s="100"/>
      <c r="I142" s="28"/>
      <c r="J142" s="100"/>
      <c r="K142" s="28">
        <f t="shared" si="12"/>
        <v>458360.64999999997</v>
      </c>
    </row>
    <row r="143" spans="2:12" x14ac:dyDescent="0.2">
      <c r="B143" s="106">
        <v>61603</v>
      </c>
      <c r="C143" s="105" t="s">
        <v>324</v>
      </c>
      <c r="D143" s="126"/>
      <c r="E143" s="100"/>
      <c r="F143" s="100"/>
      <c r="G143" s="100"/>
      <c r="H143" s="100"/>
      <c r="I143" s="28"/>
      <c r="J143" s="100"/>
      <c r="K143" s="28">
        <f t="shared" si="12"/>
        <v>0</v>
      </c>
      <c r="L143" s="213"/>
    </row>
    <row r="144" spans="2:12" x14ac:dyDescent="0.2">
      <c r="B144" s="106">
        <v>61607</v>
      </c>
      <c r="C144" s="105" t="s">
        <v>320</v>
      </c>
      <c r="D144" s="126"/>
      <c r="E144" s="100"/>
      <c r="F144" s="100"/>
      <c r="G144" s="100"/>
      <c r="H144" s="100"/>
      <c r="I144" s="28"/>
      <c r="J144" s="100"/>
      <c r="K144" s="28">
        <f t="shared" si="12"/>
        <v>0</v>
      </c>
    </row>
    <row r="145" spans="2:15" x14ac:dyDescent="0.2">
      <c r="B145" s="106">
        <v>61608</v>
      </c>
      <c r="C145" s="105" t="s">
        <v>321</v>
      </c>
      <c r="D145" s="126"/>
      <c r="E145" s="100"/>
      <c r="F145" s="272">
        <v>15990</v>
      </c>
      <c r="G145" s="100">
        <f>15000</f>
        <v>15000</v>
      </c>
      <c r="H145" s="100"/>
      <c r="I145" s="28"/>
      <c r="J145" s="100"/>
      <c r="K145" s="28">
        <f t="shared" si="12"/>
        <v>30990</v>
      </c>
    </row>
    <row r="146" spans="2:15" x14ac:dyDescent="0.2">
      <c r="B146" s="106">
        <v>61699</v>
      </c>
      <c r="C146" s="105" t="s">
        <v>322</v>
      </c>
      <c r="D146" s="126"/>
      <c r="E146" s="100"/>
      <c r="F146" s="272"/>
      <c r="G146" s="100"/>
      <c r="H146" s="100"/>
      <c r="I146" s="28"/>
      <c r="J146" s="100"/>
      <c r="K146" s="28">
        <f t="shared" si="12"/>
        <v>0</v>
      </c>
    </row>
    <row r="147" spans="2:15" x14ac:dyDescent="0.2">
      <c r="B147" s="106">
        <v>61201</v>
      </c>
      <c r="C147" s="105" t="s">
        <v>363</v>
      </c>
      <c r="D147" s="100"/>
      <c r="E147" s="100"/>
      <c r="F147" s="273"/>
      <c r="G147" s="100"/>
      <c r="H147" s="100"/>
      <c r="I147" s="28"/>
      <c r="J147" s="100"/>
      <c r="K147" s="28">
        <f>SUM(F147:J147)</f>
        <v>0</v>
      </c>
    </row>
    <row r="148" spans="2:15" x14ac:dyDescent="0.2">
      <c r="B148" s="106"/>
      <c r="C148" s="105"/>
      <c r="D148" s="100"/>
      <c r="E148" s="100"/>
      <c r="F148" s="100"/>
      <c r="G148" s="100"/>
      <c r="H148" s="100"/>
      <c r="I148" s="28"/>
      <c r="J148" s="100"/>
      <c r="K148" s="28"/>
    </row>
    <row r="149" spans="2:15" x14ac:dyDescent="0.2">
      <c r="B149" s="322">
        <v>62</v>
      </c>
      <c r="C149" s="323" t="s">
        <v>271</v>
      </c>
      <c r="D149" s="321">
        <f>+D150</f>
        <v>0</v>
      </c>
      <c r="E149" s="321">
        <f t="shared" ref="E149:K150" si="13">+E150</f>
        <v>0</v>
      </c>
      <c r="F149" s="321">
        <f t="shared" si="13"/>
        <v>0</v>
      </c>
      <c r="G149" s="321"/>
      <c r="H149" s="321">
        <f t="shared" si="13"/>
        <v>0</v>
      </c>
      <c r="I149" s="321">
        <f t="shared" si="13"/>
        <v>0</v>
      </c>
      <c r="J149" s="321">
        <f>+J150</f>
        <v>0</v>
      </c>
      <c r="K149" s="321">
        <f t="shared" si="13"/>
        <v>0</v>
      </c>
    </row>
    <row r="150" spans="2:15" x14ac:dyDescent="0.2">
      <c r="B150" s="312">
        <v>623</v>
      </c>
      <c r="C150" s="313" t="s">
        <v>327</v>
      </c>
      <c r="D150" s="307">
        <f>+D151</f>
        <v>0</v>
      </c>
      <c r="E150" s="307">
        <f t="shared" si="13"/>
        <v>0</v>
      </c>
      <c r="F150" s="307">
        <f t="shared" si="13"/>
        <v>0</v>
      </c>
      <c r="G150" s="307"/>
      <c r="H150" s="307">
        <f t="shared" si="13"/>
        <v>0</v>
      </c>
      <c r="I150" s="307">
        <f t="shared" si="13"/>
        <v>0</v>
      </c>
      <c r="J150" s="307">
        <f>+J151</f>
        <v>0</v>
      </c>
      <c r="K150" s="307">
        <f t="shared" si="13"/>
        <v>0</v>
      </c>
    </row>
    <row r="151" spans="2:15" x14ac:dyDescent="0.2">
      <c r="B151" s="106">
        <v>62303</v>
      </c>
      <c r="C151" s="105" t="s">
        <v>323</v>
      </c>
      <c r="D151" s="100"/>
      <c r="E151" s="100"/>
      <c r="F151" s="100"/>
      <c r="G151" s="100"/>
      <c r="H151" s="100"/>
      <c r="I151" s="28"/>
      <c r="J151" s="100"/>
      <c r="K151" s="28">
        <f>SUM(D151:J151)</f>
        <v>0</v>
      </c>
    </row>
    <row r="152" spans="2:15" x14ac:dyDescent="0.2">
      <c r="B152" s="106"/>
      <c r="C152" s="102"/>
      <c r="D152" s="100"/>
      <c r="E152" s="100"/>
      <c r="F152" s="100"/>
      <c r="G152" s="100"/>
      <c r="H152" s="100"/>
      <c r="I152" s="28"/>
      <c r="J152" s="100"/>
      <c r="K152" s="28"/>
    </row>
    <row r="153" spans="2:15" ht="15" x14ac:dyDescent="0.2">
      <c r="B153" s="322">
        <v>72</v>
      </c>
      <c r="C153" s="324" t="s">
        <v>274</v>
      </c>
      <c r="D153" s="321">
        <f>+D154</f>
        <v>0</v>
      </c>
      <c r="E153" s="526">
        <f t="shared" ref="E153:K153" si="14">+E154</f>
        <v>371214.19</v>
      </c>
      <c r="F153" s="526">
        <f t="shared" si="14"/>
        <v>1113642.5</v>
      </c>
      <c r="G153" s="526">
        <f>G154</f>
        <v>372820.96</v>
      </c>
      <c r="H153" s="321">
        <f t="shared" si="14"/>
        <v>1253.02</v>
      </c>
      <c r="I153" s="321">
        <f t="shared" si="14"/>
        <v>0</v>
      </c>
      <c r="J153" s="321">
        <f>+J154</f>
        <v>0</v>
      </c>
      <c r="K153" s="321">
        <f t="shared" si="14"/>
        <v>1858930.67</v>
      </c>
      <c r="O153" s="196"/>
    </row>
    <row r="154" spans="2:15" ht="15" x14ac:dyDescent="0.2">
      <c r="B154" s="312">
        <v>721</v>
      </c>
      <c r="C154" s="314" t="s">
        <v>579</v>
      </c>
      <c r="D154" s="307">
        <f>SUM(D155:D156)</f>
        <v>0</v>
      </c>
      <c r="E154" s="307">
        <f t="shared" ref="E154:K154" si="15">SUM(E155:E156)</f>
        <v>371214.19</v>
      </c>
      <c r="F154" s="307">
        <f t="shared" si="15"/>
        <v>1113642.5</v>
      </c>
      <c r="G154" s="307">
        <f>G155</f>
        <v>372820.96</v>
      </c>
      <c r="H154" s="307">
        <f t="shared" si="15"/>
        <v>1253.02</v>
      </c>
      <c r="I154" s="307">
        <f t="shared" si="15"/>
        <v>0</v>
      </c>
      <c r="J154" s="307">
        <f>SUM(J155:J156)</f>
        <v>0</v>
      </c>
      <c r="K154" s="307">
        <f t="shared" si="15"/>
        <v>1858930.67</v>
      </c>
      <c r="O154" s="196"/>
    </row>
    <row r="155" spans="2:15" ht="14.25" x14ac:dyDescent="0.2">
      <c r="B155" s="106">
        <v>72101</v>
      </c>
      <c r="C155" s="197" t="s">
        <v>592</v>
      </c>
      <c r="D155" s="100"/>
      <c r="E155" s="100">
        <f>+Ingresos!D76</f>
        <v>371214.19</v>
      </c>
      <c r="F155" s="272">
        <f>1113642.5</f>
        <v>1113642.5</v>
      </c>
      <c r="G155" s="100">
        <f>51469.61+327860.21-6508.86</f>
        <v>372820.96</v>
      </c>
      <c r="H155" s="222">
        <f>FISDL!H11</f>
        <v>1253.02</v>
      </c>
      <c r="I155" s="28"/>
      <c r="J155" s="100"/>
      <c r="K155" s="28">
        <f>SUM(D155:J155)</f>
        <v>1858930.67</v>
      </c>
      <c r="O155" s="197"/>
    </row>
    <row r="156" spans="2:15" ht="13.5" thickBot="1" x14ac:dyDescent="0.25">
      <c r="B156" s="106"/>
      <c r="C156" s="105"/>
      <c r="D156" s="100"/>
      <c r="E156" s="100"/>
      <c r="F156" s="100"/>
      <c r="G156" s="100"/>
      <c r="H156" s="100"/>
      <c r="I156" s="28"/>
      <c r="J156" s="100"/>
      <c r="K156" s="28">
        <f>SUM(D156:J156)</f>
        <v>0</v>
      </c>
    </row>
    <row r="157" spans="2:15" s="82" customFormat="1" ht="24.95" customHeight="1" thickBot="1" x14ac:dyDescent="0.25">
      <c r="B157" s="385"/>
      <c r="C157" s="386" t="s">
        <v>136</v>
      </c>
      <c r="D157" s="387">
        <f>+D9+D40+D105+D114+D124+D149+D153</f>
        <v>436067.97</v>
      </c>
      <c r="E157" s="387">
        <f>+E9+E40+E105+E114+E124+E149+E153</f>
        <v>1081997.2</v>
      </c>
      <c r="F157" s="387">
        <f>+F9+F40+F105+F114+F124+F149+F153</f>
        <v>3287335.17</v>
      </c>
      <c r="G157" s="387">
        <f>G153+G139+G134</f>
        <v>1130118.4200000002</v>
      </c>
      <c r="H157" s="387">
        <f>+H9+H40+H105+H114+H124+H149+H153</f>
        <v>1253.02</v>
      </c>
      <c r="I157" s="387">
        <f>+I9+I40+I105+I114+I124+I149+I153</f>
        <v>677495.46</v>
      </c>
      <c r="J157" s="387">
        <f>+J9+J40+J105+J114+J124+J149+J153</f>
        <v>7367.4</v>
      </c>
      <c r="K157" s="387">
        <f>+K9+K40+K105+K114+K124+K149+K153</f>
        <v>6621634.6399999997</v>
      </c>
      <c r="L157" s="215"/>
    </row>
    <row r="158" spans="2:15" x14ac:dyDescent="0.2">
      <c r="B158" s="578" t="s">
        <v>3</v>
      </c>
      <c r="C158" s="578"/>
      <c r="D158" s="578"/>
      <c r="E158" s="578"/>
      <c r="F158" s="578"/>
      <c r="G158" s="578"/>
      <c r="H158" s="578"/>
      <c r="L158" s="213"/>
    </row>
    <row r="159" spans="2:15" x14ac:dyDescent="0.2">
      <c r="B159" s="578" t="s">
        <v>4</v>
      </c>
      <c r="C159" s="578"/>
      <c r="D159" s="578"/>
      <c r="E159" s="578"/>
      <c r="F159" s="578"/>
      <c r="G159" s="578"/>
      <c r="H159" s="578"/>
      <c r="L159" s="224"/>
    </row>
    <row r="160" spans="2:15" x14ac:dyDescent="0.2">
      <c r="B160" s="578" t="s">
        <v>1</v>
      </c>
      <c r="C160" s="578"/>
      <c r="D160" s="578"/>
      <c r="E160" s="578"/>
      <c r="F160" s="578"/>
      <c r="G160" s="578"/>
      <c r="H160" s="578"/>
      <c r="L160" s="213"/>
    </row>
    <row r="161" spans="2:9" x14ac:dyDescent="0.2">
      <c r="B161" s="578" t="s">
        <v>5</v>
      </c>
      <c r="C161" s="578"/>
      <c r="D161" s="578"/>
      <c r="E161" s="578"/>
      <c r="F161" s="578"/>
      <c r="G161" s="578"/>
      <c r="H161" s="578"/>
    </row>
    <row r="162" spans="2:9" x14ac:dyDescent="0.2">
      <c r="B162" s="578" t="s">
        <v>6</v>
      </c>
      <c r="C162" s="578"/>
      <c r="D162" s="578"/>
      <c r="E162" s="578"/>
      <c r="F162" s="578"/>
      <c r="G162" s="578"/>
      <c r="H162" s="578"/>
    </row>
    <row r="163" spans="2:9" x14ac:dyDescent="0.2">
      <c r="B163" s="578" t="s">
        <v>7</v>
      </c>
      <c r="C163" s="578"/>
      <c r="D163" s="578"/>
      <c r="E163" s="578"/>
      <c r="F163" s="578"/>
      <c r="G163" s="578"/>
      <c r="H163" s="578"/>
    </row>
    <row r="164" spans="2:9" x14ac:dyDescent="0.2">
      <c r="B164" s="579" t="s">
        <v>860</v>
      </c>
      <c r="C164" s="579"/>
      <c r="D164" s="579"/>
      <c r="E164" s="579"/>
      <c r="F164" s="579"/>
      <c r="G164" s="579"/>
      <c r="H164" s="579"/>
      <c r="I164" s="579"/>
    </row>
    <row r="169" spans="2:9" x14ac:dyDescent="0.2">
      <c r="C169" s="25" t="s">
        <v>630</v>
      </c>
    </row>
  </sheetData>
  <mergeCells count="20">
    <mergeCell ref="B164:I164"/>
    <mergeCell ref="B161:H161"/>
    <mergeCell ref="B162:H162"/>
    <mergeCell ref="B163:H163"/>
    <mergeCell ref="B1:K1"/>
    <mergeCell ref="B2:K2"/>
    <mergeCell ref="B3:K3"/>
    <mergeCell ref="B4:K4"/>
    <mergeCell ref="B5:K5"/>
    <mergeCell ref="J6:J8"/>
    <mergeCell ref="K6:K8"/>
    <mergeCell ref="B158:H158"/>
    <mergeCell ref="B159:H159"/>
    <mergeCell ref="B160:H160"/>
    <mergeCell ref="D6:G6"/>
    <mergeCell ref="B6:B8"/>
    <mergeCell ref="C6:C8"/>
    <mergeCell ref="H6:H8"/>
    <mergeCell ref="I6:I8"/>
    <mergeCell ref="E7:G7"/>
  </mergeCells>
  <printOptions horizontalCentered="1"/>
  <pageMargins left="0.74803149606299213" right="1.1023622047244095" top="0.74803149606299213" bottom="0.74803149606299213" header="0.31496062992125984" footer="0.31496062992125984"/>
  <pageSetup paperSize="5" scale="85" fitToHeight="0" orientation="landscape" r:id="rId1"/>
  <headerFooter alignWithMargins="0"/>
  <rowBreaks count="7" manualBreakCount="7">
    <brk id="27" min="1" max="10" man="1"/>
    <brk id="46" min="1" max="10" man="1"/>
    <brk id="64" min="1" max="10" man="1"/>
    <brk id="86" min="1" max="10" man="1"/>
    <brk id="108" min="1" max="10" man="1"/>
    <brk id="128" min="1" max="10" man="1"/>
    <brk id="148" min="1" max="10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/>
  <dimension ref="A1:M90"/>
  <sheetViews>
    <sheetView view="pageBreakPreview" zoomScale="124" zoomScaleNormal="100" zoomScaleSheetLayoutView="124" workbookViewId="0">
      <selection activeCell="H93" sqref="H93"/>
    </sheetView>
  </sheetViews>
  <sheetFormatPr baseColWidth="10" defaultRowHeight="12.75" x14ac:dyDescent="0.2"/>
  <cols>
    <col min="1" max="1" width="4.5703125" style="33" customWidth="1"/>
    <col min="2" max="2" width="4.42578125" style="33" customWidth="1"/>
    <col min="3" max="4" width="4.5703125" style="33" customWidth="1"/>
    <col min="5" max="5" width="6.140625" style="33" customWidth="1"/>
    <col min="6" max="6" width="8.42578125" style="33" customWidth="1"/>
    <col min="7" max="7" width="45.5703125" style="25" customWidth="1"/>
    <col min="8" max="8" width="26.5703125" style="408" customWidth="1"/>
    <col min="9" max="9" width="2.85546875" style="25" customWidth="1"/>
    <col min="10" max="10" width="11.42578125" style="26"/>
    <col min="11" max="13" width="11.7109375" style="26" bestFit="1" customWidth="1"/>
    <col min="14" max="16384" width="11.42578125" style="26"/>
  </cols>
  <sheetData>
    <row r="1" spans="1:13" ht="20.25" x14ac:dyDescent="0.2">
      <c r="A1" s="560"/>
      <c r="B1" s="560"/>
      <c r="C1" s="560"/>
      <c r="D1" s="560"/>
      <c r="E1" s="560"/>
      <c r="F1" s="560"/>
      <c r="G1" s="560"/>
      <c r="H1" s="560"/>
      <c r="I1" s="615"/>
      <c r="J1" s="616"/>
      <c r="K1" s="616"/>
    </row>
    <row r="2" spans="1:13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620"/>
      <c r="J2" s="130"/>
      <c r="K2" s="130"/>
      <c r="M2" s="26" t="s">
        <v>197</v>
      </c>
    </row>
    <row r="3" spans="1:13" ht="15.75" x14ac:dyDescent="0.2">
      <c r="A3" s="584" t="s">
        <v>175</v>
      </c>
      <c r="B3" s="608"/>
      <c r="C3" s="608"/>
      <c r="D3" s="608"/>
      <c r="E3" s="608"/>
      <c r="F3" s="608"/>
      <c r="G3" s="608"/>
      <c r="H3" s="608"/>
      <c r="K3" s="54"/>
      <c r="L3" s="54"/>
      <c r="M3" s="54">
        <f t="shared" ref="M3:M8" si="0">SUM(K3:L3)</f>
        <v>0</v>
      </c>
    </row>
    <row r="4" spans="1:13" ht="15.75" x14ac:dyDescent="0.2">
      <c r="A4" s="584" t="s">
        <v>641</v>
      </c>
      <c r="B4" s="608"/>
      <c r="C4" s="608"/>
      <c r="D4" s="608"/>
      <c r="E4" s="608"/>
      <c r="F4" s="608"/>
      <c r="G4" s="608"/>
      <c r="H4" s="608"/>
      <c r="K4" s="54"/>
      <c r="L4" s="54"/>
      <c r="M4" s="54">
        <f t="shared" si="0"/>
        <v>0</v>
      </c>
    </row>
    <row r="5" spans="1:13" ht="15" x14ac:dyDescent="0.2">
      <c r="A5" s="609" t="s">
        <v>11</v>
      </c>
      <c r="B5" s="610"/>
      <c r="C5" s="610"/>
      <c r="D5" s="610"/>
      <c r="E5" s="610"/>
      <c r="F5" s="610"/>
      <c r="G5" s="610"/>
      <c r="H5" s="610"/>
      <c r="K5" s="54"/>
      <c r="M5" s="54">
        <f t="shared" si="0"/>
        <v>0</v>
      </c>
    </row>
    <row r="6" spans="1:13" ht="15.75" x14ac:dyDescent="0.2">
      <c r="A6" s="619" t="s">
        <v>13</v>
      </c>
      <c r="B6" s="619"/>
      <c r="C6" s="619"/>
      <c r="D6" s="619"/>
      <c r="E6" s="619"/>
      <c r="F6" s="619"/>
      <c r="G6" s="619"/>
      <c r="H6" s="619"/>
      <c r="K6" s="54"/>
      <c r="M6" s="54">
        <f t="shared" si="0"/>
        <v>0</v>
      </c>
    </row>
    <row r="7" spans="1:13" ht="16.5" thickBot="1" x14ac:dyDescent="0.25">
      <c r="A7" s="585" t="s">
        <v>55</v>
      </c>
      <c r="B7" s="585"/>
      <c r="C7" s="585"/>
      <c r="D7" s="585"/>
      <c r="E7" s="585"/>
      <c r="F7" s="585"/>
      <c r="G7" s="585"/>
      <c r="H7" s="585"/>
      <c r="K7" s="54"/>
      <c r="L7" s="54"/>
      <c r="M7" s="54">
        <f t="shared" si="0"/>
        <v>0</v>
      </c>
    </row>
    <row r="8" spans="1:13" ht="13.5" thickBot="1" x14ac:dyDescent="0.25">
      <c r="A8" s="611" t="s">
        <v>0</v>
      </c>
      <c r="B8" s="612"/>
      <c r="C8" s="612"/>
      <c r="D8" s="612"/>
      <c r="E8" s="612"/>
      <c r="F8" s="612"/>
      <c r="G8" s="613" t="s">
        <v>151</v>
      </c>
      <c r="H8" s="617" t="s">
        <v>152</v>
      </c>
      <c r="K8" s="54"/>
      <c r="M8" s="54">
        <f t="shared" si="0"/>
        <v>0</v>
      </c>
    </row>
    <row r="9" spans="1:13" s="27" customFormat="1" ht="200.25" customHeight="1" thickBot="1" x14ac:dyDescent="0.25">
      <c r="A9" s="325" t="s">
        <v>144</v>
      </c>
      <c r="B9" s="326" t="s">
        <v>154</v>
      </c>
      <c r="C9" s="326" t="s">
        <v>122</v>
      </c>
      <c r="D9" s="326" t="s">
        <v>146</v>
      </c>
      <c r="E9" s="327" t="s">
        <v>153</v>
      </c>
      <c r="F9" s="328" t="s">
        <v>99</v>
      </c>
      <c r="G9" s="614"/>
      <c r="H9" s="618"/>
      <c r="I9" s="25"/>
      <c r="M9" s="81">
        <f>SUM(M3:M8)</f>
        <v>0</v>
      </c>
    </row>
    <row r="10" spans="1:13" ht="15.75" customHeight="1" x14ac:dyDescent="0.2">
      <c r="A10" s="64">
        <v>1</v>
      </c>
      <c r="B10" s="65" t="s">
        <v>49</v>
      </c>
      <c r="C10" s="65" t="s">
        <v>49</v>
      </c>
      <c r="D10" s="65" t="s">
        <v>50</v>
      </c>
      <c r="E10" s="37" t="s">
        <v>57</v>
      </c>
      <c r="F10" s="62">
        <v>51101</v>
      </c>
      <c r="G10" s="66" t="s">
        <v>35</v>
      </c>
      <c r="H10" s="434">
        <f>13590.6*12</f>
        <v>163087.20000000001</v>
      </c>
    </row>
    <row r="11" spans="1:13" ht="15.75" customHeight="1" x14ac:dyDescent="0.2">
      <c r="A11" s="64">
        <v>1</v>
      </c>
      <c r="B11" s="65" t="s">
        <v>49</v>
      </c>
      <c r="C11" s="65" t="s">
        <v>49</v>
      </c>
      <c r="D11" s="65" t="s">
        <v>50</v>
      </c>
      <c r="E11" s="37" t="s">
        <v>57</v>
      </c>
      <c r="F11" s="62">
        <v>51103</v>
      </c>
      <c r="G11" s="66" t="s">
        <v>36</v>
      </c>
      <c r="H11" s="402">
        <v>0</v>
      </c>
    </row>
    <row r="12" spans="1:13" ht="15.75" customHeight="1" x14ac:dyDescent="0.2">
      <c r="A12" s="64"/>
      <c r="B12" s="65"/>
      <c r="C12" s="65"/>
      <c r="D12" s="65"/>
      <c r="E12" s="37"/>
      <c r="F12" s="62">
        <v>51105</v>
      </c>
      <c r="G12" s="66" t="s">
        <v>71</v>
      </c>
      <c r="H12" s="434">
        <f>126720-21120</f>
        <v>105600</v>
      </c>
    </row>
    <row r="13" spans="1:13" ht="15.75" customHeight="1" x14ac:dyDescent="0.2">
      <c r="A13" s="64"/>
      <c r="B13" s="65"/>
      <c r="C13" s="65"/>
      <c r="D13" s="65"/>
      <c r="E13" s="37"/>
      <c r="F13" s="62">
        <v>51106</v>
      </c>
      <c r="G13" s="329" t="s">
        <v>584</v>
      </c>
      <c r="H13" s="402">
        <v>0</v>
      </c>
    </row>
    <row r="14" spans="1:13" ht="15.75" customHeight="1" x14ac:dyDescent="0.2">
      <c r="A14" s="64"/>
      <c r="B14" s="65"/>
      <c r="C14" s="65"/>
      <c r="D14" s="65"/>
      <c r="E14" s="37"/>
      <c r="F14" s="62">
        <v>51107</v>
      </c>
      <c r="G14" s="329" t="s">
        <v>527</v>
      </c>
      <c r="H14" s="434">
        <v>17000</v>
      </c>
    </row>
    <row r="15" spans="1:13" ht="15.6" customHeight="1" x14ac:dyDescent="0.2">
      <c r="A15" s="64">
        <v>1</v>
      </c>
      <c r="B15" s="65" t="s">
        <v>49</v>
      </c>
      <c r="C15" s="65" t="s">
        <v>49</v>
      </c>
      <c r="D15" s="65" t="s">
        <v>50</v>
      </c>
      <c r="E15" s="37" t="s">
        <v>57</v>
      </c>
      <c r="F15" s="62">
        <v>51202</v>
      </c>
      <c r="G15" s="66" t="s">
        <v>359</v>
      </c>
      <c r="H15" s="402"/>
    </row>
    <row r="16" spans="1:13" ht="15.75" customHeight="1" x14ac:dyDescent="0.2">
      <c r="A16" s="36">
        <v>1</v>
      </c>
      <c r="B16" s="65" t="s">
        <v>49</v>
      </c>
      <c r="C16" s="37" t="s">
        <v>49</v>
      </c>
      <c r="D16" s="37" t="s">
        <v>50</v>
      </c>
      <c r="E16" s="37" t="s">
        <v>57</v>
      </c>
      <c r="F16" s="63">
        <v>51203</v>
      </c>
      <c r="G16" s="35" t="s">
        <v>36</v>
      </c>
      <c r="H16" s="403"/>
    </row>
    <row r="17" spans="1:8" ht="15.75" customHeight="1" x14ac:dyDescent="0.2">
      <c r="A17" s="36">
        <v>1</v>
      </c>
      <c r="B17" s="65" t="s">
        <v>49</v>
      </c>
      <c r="C17" s="37" t="s">
        <v>49</v>
      </c>
      <c r="D17" s="37" t="s">
        <v>50</v>
      </c>
      <c r="E17" s="37" t="s">
        <v>57</v>
      </c>
      <c r="F17" s="63">
        <v>51301</v>
      </c>
      <c r="G17" s="35" t="s">
        <v>627</v>
      </c>
      <c r="H17" s="403">
        <v>0</v>
      </c>
    </row>
    <row r="18" spans="1:8" ht="15.75" customHeight="1" x14ac:dyDescent="0.2">
      <c r="A18" s="36">
        <v>1</v>
      </c>
      <c r="B18" s="65" t="s">
        <v>49</v>
      </c>
      <c r="C18" s="37" t="s">
        <v>49</v>
      </c>
      <c r="D18" s="37" t="s">
        <v>50</v>
      </c>
      <c r="E18" s="37" t="s">
        <v>57</v>
      </c>
      <c r="F18" s="63">
        <v>51401</v>
      </c>
      <c r="G18" s="35" t="s">
        <v>37</v>
      </c>
      <c r="H18" s="430">
        <f>7180.8+11269.68+1560</f>
        <v>20010.48</v>
      </c>
    </row>
    <row r="19" spans="1:8" ht="15.75" customHeight="1" x14ac:dyDescent="0.2">
      <c r="A19" s="36">
        <v>1</v>
      </c>
      <c r="B19" s="65" t="s">
        <v>49</v>
      </c>
      <c r="C19" s="37" t="s">
        <v>49</v>
      </c>
      <c r="D19" s="37" t="s">
        <v>50</v>
      </c>
      <c r="E19" s="37" t="s">
        <v>57</v>
      </c>
      <c r="F19" s="63">
        <v>51501</v>
      </c>
      <c r="G19" s="35" t="s">
        <v>37</v>
      </c>
      <c r="H19" s="430">
        <f>5728.8+8910.72+1560</f>
        <v>16199.52</v>
      </c>
    </row>
    <row r="20" spans="1:8" ht="15.75" customHeight="1" x14ac:dyDescent="0.2">
      <c r="A20" s="36"/>
      <c r="B20" s="65"/>
      <c r="C20" s="37"/>
      <c r="D20" s="37"/>
      <c r="E20" s="37"/>
      <c r="F20" s="63">
        <v>51601</v>
      </c>
      <c r="G20" s="35" t="s">
        <v>602</v>
      </c>
      <c r="H20" s="430">
        <v>9000</v>
      </c>
    </row>
    <row r="21" spans="1:8" ht="15.75" customHeight="1" x14ac:dyDescent="0.2">
      <c r="A21" s="36">
        <v>1</v>
      </c>
      <c r="B21" s="65" t="s">
        <v>49</v>
      </c>
      <c r="C21" s="37" t="s">
        <v>49</v>
      </c>
      <c r="D21" s="37" t="s">
        <v>50</v>
      </c>
      <c r="E21" s="37" t="s">
        <v>57</v>
      </c>
      <c r="F21" s="63">
        <v>51602</v>
      </c>
      <c r="G21" s="35" t="s">
        <v>343</v>
      </c>
      <c r="H21" s="403">
        <v>0</v>
      </c>
    </row>
    <row r="22" spans="1:8" ht="15.75" customHeight="1" x14ac:dyDescent="0.2">
      <c r="A22" s="36"/>
      <c r="B22" s="65"/>
      <c r="C22" s="37"/>
      <c r="D22" s="37"/>
      <c r="E22" s="37"/>
      <c r="F22" s="63">
        <v>51701</v>
      </c>
      <c r="G22" s="446" t="s">
        <v>697</v>
      </c>
      <c r="H22" s="403">
        <f>2543.95+12456.05+3982.36</f>
        <v>18982.36</v>
      </c>
    </row>
    <row r="23" spans="1:8" ht="15.75" customHeight="1" x14ac:dyDescent="0.2">
      <c r="A23" s="36"/>
      <c r="B23" s="65"/>
      <c r="C23" s="37"/>
      <c r="D23" s="37"/>
      <c r="E23" s="37"/>
      <c r="F23" s="63">
        <v>51999</v>
      </c>
      <c r="G23" s="35" t="s">
        <v>603</v>
      </c>
      <c r="H23" s="403">
        <f>+Egresos!D38</f>
        <v>0</v>
      </c>
    </row>
    <row r="24" spans="1:8" ht="15.75" customHeight="1" x14ac:dyDescent="0.2">
      <c r="A24" s="36">
        <v>1</v>
      </c>
      <c r="B24" s="65" t="s">
        <v>49</v>
      </c>
      <c r="C24" s="37" t="s">
        <v>49</v>
      </c>
      <c r="D24" s="37" t="s">
        <v>50</v>
      </c>
      <c r="E24" s="37" t="s">
        <v>57</v>
      </c>
      <c r="F24" s="63">
        <v>54101</v>
      </c>
      <c r="G24" s="35" t="s">
        <v>38</v>
      </c>
      <c r="H24" s="430">
        <f>2987.5+5000</f>
        <v>7987.5</v>
      </c>
    </row>
    <row r="25" spans="1:8" ht="15.75" customHeight="1" x14ac:dyDescent="0.2">
      <c r="A25" s="36">
        <v>1</v>
      </c>
      <c r="B25" s="65" t="s">
        <v>49</v>
      </c>
      <c r="C25" s="37" t="s">
        <v>49</v>
      </c>
      <c r="D25" s="37" t="s">
        <v>50</v>
      </c>
      <c r="E25" s="37" t="s">
        <v>57</v>
      </c>
      <c r="F25" s="63">
        <v>54104</v>
      </c>
      <c r="G25" s="446" t="s">
        <v>156</v>
      </c>
      <c r="H25" s="430">
        <f>8790-2000-1000</f>
        <v>5790</v>
      </c>
    </row>
    <row r="26" spans="1:8" ht="15.75" customHeight="1" x14ac:dyDescent="0.2">
      <c r="A26" s="36">
        <v>1</v>
      </c>
      <c r="B26" s="65" t="s">
        <v>49</v>
      </c>
      <c r="C26" s="37" t="s">
        <v>49</v>
      </c>
      <c r="D26" s="37" t="s">
        <v>50</v>
      </c>
      <c r="E26" s="37" t="s">
        <v>57</v>
      </c>
      <c r="F26" s="63">
        <v>54105</v>
      </c>
      <c r="G26" s="446" t="s">
        <v>39</v>
      </c>
      <c r="H26" s="430">
        <f>7965.25-2000</f>
        <v>5965.25</v>
      </c>
    </row>
    <row r="27" spans="1:8" ht="15.75" customHeight="1" x14ac:dyDescent="0.2">
      <c r="A27" s="36">
        <v>1</v>
      </c>
      <c r="B27" s="65" t="s">
        <v>49</v>
      </c>
      <c r="C27" s="37" t="s">
        <v>49</v>
      </c>
      <c r="D27" s="37" t="s">
        <v>50</v>
      </c>
      <c r="E27" s="37" t="s">
        <v>57</v>
      </c>
      <c r="F27" s="63">
        <v>54106</v>
      </c>
      <c r="G27" s="446" t="s">
        <v>157</v>
      </c>
      <c r="H27" s="430">
        <f>4036.5-2000</f>
        <v>2036.5</v>
      </c>
    </row>
    <row r="28" spans="1:8" ht="15.75" customHeight="1" x14ac:dyDescent="0.2">
      <c r="A28" s="36">
        <v>1</v>
      </c>
      <c r="B28" s="65" t="s">
        <v>49</v>
      </c>
      <c r="C28" s="37" t="s">
        <v>49</v>
      </c>
      <c r="D28" s="37" t="s">
        <v>50</v>
      </c>
      <c r="E28" s="37" t="s">
        <v>57</v>
      </c>
      <c r="F28" s="63">
        <v>54107</v>
      </c>
      <c r="G28" s="446" t="s">
        <v>158</v>
      </c>
      <c r="H28" s="430">
        <f>3425-1500</f>
        <v>1925</v>
      </c>
    </row>
    <row r="29" spans="1:8" ht="15.75" customHeight="1" x14ac:dyDescent="0.2">
      <c r="A29" s="36">
        <v>1</v>
      </c>
      <c r="B29" s="65" t="s">
        <v>49</v>
      </c>
      <c r="C29" s="37" t="s">
        <v>49</v>
      </c>
      <c r="D29" s="37" t="s">
        <v>50</v>
      </c>
      <c r="E29" s="37" t="s">
        <v>57</v>
      </c>
      <c r="F29" s="63">
        <v>54108</v>
      </c>
      <c r="G29" s="35" t="s">
        <v>223</v>
      </c>
      <c r="H29" s="430">
        <v>462.5</v>
      </c>
    </row>
    <row r="30" spans="1:8" ht="15.75" customHeight="1" x14ac:dyDescent="0.2">
      <c r="A30" s="36">
        <v>1</v>
      </c>
      <c r="B30" s="65" t="s">
        <v>49</v>
      </c>
      <c r="C30" s="37" t="s">
        <v>49</v>
      </c>
      <c r="D30" s="37" t="s">
        <v>50</v>
      </c>
      <c r="E30" s="37" t="s">
        <v>57</v>
      </c>
      <c r="F30" s="63">
        <v>54109</v>
      </c>
      <c r="G30" s="35" t="s">
        <v>159</v>
      </c>
      <c r="H30" s="430">
        <v>200</v>
      </c>
    </row>
    <row r="31" spans="1:8" ht="15.75" customHeight="1" x14ac:dyDescent="0.2">
      <c r="A31" s="36">
        <v>1</v>
      </c>
      <c r="B31" s="65" t="s">
        <v>49</v>
      </c>
      <c r="C31" s="37" t="s">
        <v>49</v>
      </c>
      <c r="D31" s="37" t="s">
        <v>50</v>
      </c>
      <c r="E31" s="37" t="s">
        <v>57</v>
      </c>
      <c r="F31" s="63">
        <v>54110</v>
      </c>
      <c r="G31" s="35" t="s">
        <v>40</v>
      </c>
      <c r="H31" s="403">
        <v>0</v>
      </c>
    </row>
    <row r="32" spans="1:8" ht="15.75" customHeight="1" x14ac:dyDescent="0.2">
      <c r="A32" s="36">
        <v>1</v>
      </c>
      <c r="B32" s="65" t="s">
        <v>49</v>
      </c>
      <c r="C32" s="37" t="s">
        <v>49</v>
      </c>
      <c r="D32" s="37" t="s">
        <v>50</v>
      </c>
      <c r="E32" s="37" t="s">
        <v>57</v>
      </c>
      <c r="F32" s="63">
        <v>54111</v>
      </c>
      <c r="G32" s="35" t="s">
        <v>160</v>
      </c>
      <c r="H32" s="430">
        <v>850</v>
      </c>
    </row>
    <row r="33" spans="1:8" ht="15.75" customHeight="1" x14ac:dyDescent="0.2">
      <c r="A33" s="36">
        <v>1</v>
      </c>
      <c r="B33" s="65" t="s">
        <v>49</v>
      </c>
      <c r="C33" s="37" t="s">
        <v>49</v>
      </c>
      <c r="D33" s="37" t="s">
        <v>50</v>
      </c>
      <c r="E33" s="37" t="s">
        <v>57</v>
      </c>
      <c r="F33" s="63">
        <v>54112</v>
      </c>
      <c r="G33" s="446" t="s">
        <v>161</v>
      </c>
      <c r="H33" s="430">
        <f>29575-12456.05-7118.95-5000</f>
        <v>5000</v>
      </c>
    </row>
    <row r="34" spans="1:8" ht="15.75" customHeight="1" x14ac:dyDescent="0.2">
      <c r="A34" s="36"/>
      <c r="B34" s="65"/>
      <c r="C34" s="37"/>
      <c r="D34" s="37"/>
      <c r="E34" s="37"/>
      <c r="F34" s="63">
        <v>54113</v>
      </c>
      <c r="G34" s="35" t="s">
        <v>604</v>
      </c>
      <c r="H34" s="403">
        <v>0</v>
      </c>
    </row>
    <row r="35" spans="1:8" ht="15.75" customHeight="1" x14ac:dyDescent="0.2">
      <c r="A35" s="36">
        <v>1</v>
      </c>
      <c r="B35" s="65" t="s">
        <v>49</v>
      </c>
      <c r="C35" s="37" t="s">
        <v>49</v>
      </c>
      <c r="D35" s="37" t="s">
        <v>50</v>
      </c>
      <c r="E35" s="37" t="s">
        <v>57</v>
      </c>
      <c r="F35" s="63">
        <v>54114</v>
      </c>
      <c r="G35" s="35" t="s">
        <v>41</v>
      </c>
      <c r="H35" s="430">
        <v>421.5</v>
      </c>
    </row>
    <row r="36" spans="1:8" ht="15.75" customHeight="1" x14ac:dyDescent="0.2">
      <c r="A36" s="36">
        <v>1</v>
      </c>
      <c r="B36" s="65" t="s">
        <v>49</v>
      </c>
      <c r="C36" s="37" t="s">
        <v>49</v>
      </c>
      <c r="D36" s="37" t="s">
        <v>50</v>
      </c>
      <c r="E36" s="37" t="s">
        <v>57</v>
      </c>
      <c r="F36" s="63">
        <v>54115</v>
      </c>
      <c r="G36" s="446" t="s">
        <v>76</v>
      </c>
      <c r="H36" s="430">
        <f>8040-5000</f>
        <v>3040</v>
      </c>
    </row>
    <row r="37" spans="1:8" ht="15.75" customHeight="1" x14ac:dyDescent="0.2">
      <c r="A37" s="36">
        <v>1</v>
      </c>
      <c r="B37" s="65" t="s">
        <v>49</v>
      </c>
      <c r="C37" s="37" t="s">
        <v>49</v>
      </c>
      <c r="D37" s="37" t="s">
        <v>50</v>
      </c>
      <c r="E37" s="37" t="s">
        <v>57</v>
      </c>
      <c r="F37" s="63">
        <v>54116</v>
      </c>
      <c r="G37" s="118" t="s">
        <v>224</v>
      </c>
      <c r="H37" s="430">
        <v>550</v>
      </c>
    </row>
    <row r="38" spans="1:8" ht="15.75" customHeight="1" x14ac:dyDescent="0.2">
      <c r="A38" s="36"/>
      <c r="B38" s="65"/>
      <c r="C38" s="37"/>
      <c r="D38" s="37"/>
      <c r="E38" s="37"/>
      <c r="F38" s="63">
        <v>54117</v>
      </c>
      <c r="G38" s="118" t="s">
        <v>547</v>
      </c>
      <c r="H38" s="430">
        <v>600</v>
      </c>
    </row>
    <row r="39" spans="1:8" ht="15.75" customHeight="1" x14ac:dyDescent="0.2">
      <c r="A39" s="36">
        <v>1</v>
      </c>
      <c r="B39" s="65" t="s">
        <v>49</v>
      </c>
      <c r="C39" s="37" t="s">
        <v>49</v>
      </c>
      <c r="D39" s="37" t="s">
        <v>50</v>
      </c>
      <c r="E39" s="37" t="s">
        <v>57</v>
      </c>
      <c r="F39" s="63">
        <v>54118</v>
      </c>
      <c r="G39" s="35" t="s">
        <v>162</v>
      </c>
      <c r="H39" s="430">
        <v>2575</v>
      </c>
    </row>
    <row r="40" spans="1:8" ht="15.75" customHeight="1" x14ac:dyDescent="0.2">
      <c r="A40" s="36">
        <v>1</v>
      </c>
      <c r="B40" s="65" t="s">
        <v>49</v>
      </c>
      <c r="C40" s="37" t="s">
        <v>49</v>
      </c>
      <c r="D40" s="37" t="s">
        <v>50</v>
      </c>
      <c r="E40" s="37" t="s">
        <v>57</v>
      </c>
      <c r="F40" s="63">
        <v>54119</v>
      </c>
      <c r="G40" s="35" t="s">
        <v>89</v>
      </c>
      <c r="H40" s="430">
        <v>2605</v>
      </c>
    </row>
    <row r="41" spans="1:8" ht="15.75" customHeight="1" x14ac:dyDescent="0.2">
      <c r="A41" s="36">
        <v>1</v>
      </c>
      <c r="B41" s="65" t="s">
        <v>49</v>
      </c>
      <c r="C41" s="37" t="s">
        <v>49</v>
      </c>
      <c r="D41" s="37" t="s">
        <v>50</v>
      </c>
      <c r="E41" s="37" t="s">
        <v>57</v>
      </c>
      <c r="F41" s="63">
        <v>54199</v>
      </c>
      <c r="G41" s="446" t="s">
        <v>163</v>
      </c>
      <c r="H41" s="430">
        <f>6780-3000</f>
        <v>3780</v>
      </c>
    </row>
    <row r="42" spans="1:8" ht="15.75" customHeight="1" x14ac:dyDescent="0.2">
      <c r="A42" s="36">
        <v>1</v>
      </c>
      <c r="B42" s="65" t="s">
        <v>49</v>
      </c>
      <c r="C42" s="37" t="s">
        <v>49</v>
      </c>
      <c r="D42" s="37" t="s">
        <v>50</v>
      </c>
      <c r="E42" s="37" t="s">
        <v>57</v>
      </c>
      <c r="F42" s="63">
        <v>54201</v>
      </c>
      <c r="G42" s="35" t="s">
        <v>200</v>
      </c>
      <c r="H42" s="430">
        <v>0</v>
      </c>
    </row>
    <row r="43" spans="1:8" ht="15.75" customHeight="1" x14ac:dyDescent="0.2">
      <c r="A43" s="36">
        <v>1</v>
      </c>
      <c r="B43" s="65" t="s">
        <v>49</v>
      </c>
      <c r="C43" s="37" t="s">
        <v>49</v>
      </c>
      <c r="D43" s="37" t="s">
        <v>50</v>
      </c>
      <c r="E43" s="37" t="s">
        <v>57</v>
      </c>
      <c r="F43" s="63">
        <v>54202</v>
      </c>
      <c r="G43" s="35" t="s">
        <v>43</v>
      </c>
      <c r="H43" s="430">
        <v>0</v>
      </c>
    </row>
    <row r="44" spans="1:8" ht="15.75" customHeight="1" x14ac:dyDescent="0.2">
      <c r="A44" s="36">
        <v>1</v>
      </c>
      <c r="B44" s="65" t="s">
        <v>49</v>
      </c>
      <c r="C44" s="37" t="s">
        <v>49</v>
      </c>
      <c r="D44" s="37" t="s">
        <v>50</v>
      </c>
      <c r="E44" s="37" t="s">
        <v>57</v>
      </c>
      <c r="F44" s="63">
        <v>54203</v>
      </c>
      <c r="G44" s="35" t="s">
        <v>44</v>
      </c>
      <c r="H44" s="430">
        <v>2978</v>
      </c>
    </row>
    <row r="45" spans="1:8" ht="15.75" customHeight="1" x14ac:dyDescent="0.2">
      <c r="A45" s="36">
        <v>1</v>
      </c>
      <c r="B45" s="65" t="s">
        <v>49</v>
      </c>
      <c r="C45" s="37" t="s">
        <v>49</v>
      </c>
      <c r="D45" s="37" t="s">
        <v>50</v>
      </c>
      <c r="E45" s="37" t="s">
        <v>57</v>
      </c>
      <c r="F45" s="63">
        <v>54204</v>
      </c>
      <c r="G45" s="35" t="s">
        <v>225</v>
      </c>
      <c r="H45" s="403">
        <v>0</v>
      </c>
    </row>
    <row r="46" spans="1:8" ht="15.75" customHeight="1" x14ac:dyDescent="0.2">
      <c r="A46" s="36"/>
      <c r="B46" s="65"/>
      <c r="C46" s="37"/>
      <c r="D46" s="37"/>
      <c r="E46" s="37"/>
      <c r="F46" s="63">
        <v>54205</v>
      </c>
      <c r="G46" s="35" t="s">
        <v>605</v>
      </c>
      <c r="H46" s="403">
        <f>+Egresos!D68</f>
        <v>9000</v>
      </c>
    </row>
    <row r="47" spans="1:8" ht="15.75" customHeight="1" x14ac:dyDescent="0.2">
      <c r="A47" s="36">
        <v>1</v>
      </c>
      <c r="B47" s="65" t="s">
        <v>49</v>
      </c>
      <c r="C47" s="37" t="s">
        <v>49</v>
      </c>
      <c r="D47" s="37" t="s">
        <v>50</v>
      </c>
      <c r="E47" s="37" t="s">
        <v>57</v>
      </c>
      <c r="F47" s="63">
        <v>54301</v>
      </c>
      <c r="G47" s="35" t="s">
        <v>164</v>
      </c>
      <c r="H47" s="430">
        <f>1200-702.84</f>
        <v>497.15999999999997</v>
      </c>
    </row>
    <row r="48" spans="1:8" ht="15.75" customHeight="1" x14ac:dyDescent="0.2">
      <c r="A48" s="36">
        <v>1</v>
      </c>
      <c r="B48" s="65" t="s">
        <v>49</v>
      </c>
      <c r="C48" s="37" t="s">
        <v>49</v>
      </c>
      <c r="D48" s="37" t="s">
        <v>50</v>
      </c>
      <c r="E48" s="37" t="s">
        <v>57</v>
      </c>
      <c r="F48" s="63">
        <v>54302</v>
      </c>
      <c r="G48" s="35" t="s">
        <v>165</v>
      </c>
      <c r="H48" s="430">
        <v>1200</v>
      </c>
    </row>
    <row r="49" spans="1:8" ht="15.75" customHeight="1" x14ac:dyDescent="0.2">
      <c r="A49" s="36">
        <v>1</v>
      </c>
      <c r="B49" s="65" t="s">
        <v>49</v>
      </c>
      <c r="C49" s="37" t="s">
        <v>49</v>
      </c>
      <c r="D49" s="37" t="s">
        <v>50</v>
      </c>
      <c r="E49" s="37" t="s">
        <v>57</v>
      </c>
      <c r="F49" s="63">
        <v>54303</v>
      </c>
      <c r="G49" s="35" t="s">
        <v>166</v>
      </c>
      <c r="H49" s="430">
        <v>150</v>
      </c>
    </row>
    <row r="50" spans="1:8" ht="15.75" customHeight="1" x14ac:dyDescent="0.2">
      <c r="A50" s="36">
        <v>1</v>
      </c>
      <c r="B50" s="65" t="s">
        <v>49</v>
      </c>
      <c r="C50" s="37" t="s">
        <v>49</v>
      </c>
      <c r="D50" s="37" t="s">
        <v>50</v>
      </c>
      <c r="E50" s="37" t="s">
        <v>57</v>
      </c>
      <c r="F50" s="63">
        <v>54304</v>
      </c>
      <c r="G50" s="35" t="s">
        <v>72</v>
      </c>
      <c r="H50" s="430">
        <v>550</v>
      </c>
    </row>
    <row r="51" spans="1:8" ht="15.75" customHeight="1" x14ac:dyDescent="0.2">
      <c r="A51" s="36">
        <v>1</v>
      </c>
      <c r="B51" s="65" t="s">
        <v>49</v>
      </c>
      <c r="C51" s="37" t="s">
        <v>49</v>
      </c>
      <c r="D51" s="37" t="s">
        <v>50</v>
      </c>
      <c r="E51" s="37" t="s">
        <v>57</v>
      </c>
      <c r="F51" s="63">
        <v>54305</v>
      </c>
      <c r="G51" s="35" t="s">
        <v>73</v>
      </c>
      <c r="H51" s="430">
        <v>1100</v>
      </c>
    </row>
    <row r="52" spans="1:8" ht="15.75" customHeight="1" x14ac:dyDescent="0.2">
      <c r="A52" s="36">
        <v>1</v>
      </c>
      <c r="B52" s="65" t="s">
        <v>49</v>
      </c>
      <c r="C52" s="37" t="s">
        <v>49</v>
      </c>
      <c r="D52" s="37" t="s">
        <v>50</v>
      </c>
      <c r="E52" s="37" t="s">
        <v>57</v>
      </c>
      <c r="F52" s="63">
        <v>54307</v>
      </c>
      <c r="G52" s="118" t="s">
        <v>226</v>
      </c>
      <c r="H52" s="403"/>
    </row>
    <row r="53" spans="1:8" ht="15.75" customHeight="1" x14ac:dyDescent="0.2">
      <c r="A53" s="36"/>
      <c r="B53" s="65"/>
      <c r="C53" s="37"/>
      <c r="D53" s="37"/>
      <c r="E53" s="37"/>
      <c r="F53" s="63">
        <v>54308</v>
      </c>
      <c r="G53" s="118" t="s">
        <v>606</v>
      </c>
      <c r="H53" s="403">
        <v>0</v>
      </c>
    </row>
    <row r="54" spans="1:8" ht="15.75" customHeight="1" x14ac:dyDescent="0.2">
      <c r="A54" s="36"/>
      <c r="B54" s="65"/>
      <c r="C54" s="37"/>
      <c r="D54" s="37"/>
      <c r="E54" s="37"/>
      <c r="F54" s="63">
        <v>54310</v>
      </c>
      <c r="G54" s="118" t="s">
        <v>607</v>
      </c>
      <c r="H54" s="403">
        <v>0</v>
      </c>
    </row>
    <row r="55" spans="1:8" ht="15.75" customHeight="1" x14ac:dyDescent="0.2">
      <c r="A55" s="36">
        <v>1</v>
      </c>
      <c r="B55" s="65" t="s">
        <v>49</v>
      </c>
      <c r="C55" s="37" t="s">
        <v>49</v>
      </c>
      <c r="D55" s="37" t="s">
        <v>50</v>
      </c>
      <c r="E55" s="37" t="s">
        <v>57</v>
      </c>
      <c r="F55" s="63">
        <v>54311</v>
      </c>
      <c r="G55" s="118" t="s">
        <v>299</v>
      </c>
      <c r="H55" s="403"/>
    </row>
    <row r="56" spans="1:8" ht="15.75" customHeight="1" x14ac:dyDescent="0.2">
      <c r="A56" s="36">
        <v>1</v>
      </c>
      <c r="B56" s="65" t="s">
        <v>49</v>
      </c>
      <c r="C56" s="37" t="s">
        <v>49</v>
      </c>
      <c r="D56" s="37" t="s">
        <v>50</v>
      </c>
      <c r="E56" s="37" t="s">
        <v>57</v>
      </c>
      <c r="F56" s="63">
        <v>54313</v>
      </c>
      <c r="G56" s="35" t="s">
        <v>74</v>
      </c>
      <c r="H56" s="430">
        <f>1600-500</f>
        <v>1100</v>
      </c>
    </row>
    <row r="57" spans="1:8" ht="15.75" customHeight="1" x14ac:dyDescent="0.2">
      <c r="A57" s="36">
        <v>1</v>
      </c>
      <c r="B57" s="65" t="s">
        <v>49</v>
      </c>
      <c r="C57" s="37" t="s">
        <v>49</v>
      </c>
      <c r="D57" s="37" t="s">
        <v>50</v>
      </c>
      <c r="E57" s="37" t="s">
        <v>57</v>
      </c>
      <c r="F57" s="63">
        <v>54314</v>
      </c>
      <c r="G57" s="35" t="s">
        <v>77</v>
      </c>
      <c r="H57" s="430">
        <f>2625+5000</f>
        <v>7625</v>
      </c>
    </row>
    <row r="58" spans="1:8" ht="15.75" customHeight="1" x14ac:dyDescent="0.2">
      <c r="A58" s="36">
        <v>1</v>
      </c>
      <c r="B58" s="65" t="s">
        <v>49</v>
      </c>
      <c r="C58" s="37" t="s">
        <v>49</v>
      </c>
      <c r="D58" s="37" t="s">
        <v>50</v>
      </c>
      <c r="E58" s="37" t="s">
        <v>57</v>
      </c>
      <c r="F58" s="63">
        <v>54316</v>
      </c>
      <c r="G58" s="35" t="s">
        <v>181</v>
      </c>
      <c r="H58" s="430">
        <v>750</v>
      </c>
    </row>
    <row r="59" spans="1:8" ht="15.75" customHeight="1" x14ac:dyDescent="0.2">
      <c r="A59" s="36"/>
      <c r="B59" s="65"/>
      <c r="C59" s="37"/>
      <c r="D59" s="37"/>
      <c r="E59" s="37"/>
      <c r="F59" s="63">
        <v>54317</v>
      </c>
      <c r="G59" s="35" t="s">
        <v>548</v>
      </c>
      <c r="H59" s="430">
        <v>7750</v>
      </c>
    </row>
    <row r="60" spans="1:8" ht="15.75" customHeight="1" x14ac:dyDescent="0.2">
      <c r="A60" s="36">
        <v>1</v>
      </c>
      <c r="B60" s="65" t="s">
        <v>49</v>
      </c>
      <c r="C60" s="37" t="s">
        <v>49</v>
      </c>
      <c r="D60" s="37" t="s">
        <v>50</v>
      </c>
      <c r="E60" s="37" t="s">
        <v>57</v>
      </c>
      <c r="F60" s="63">
        <v>54399</v>
      </c>
      <c r="G60" s="35" t="s">
        <v>344</v>
      </c>
      <c r="H60" s="430">
        <v>1500</v>
      </c>
    </row>
    <row r="61" spans="1:8" ht="15.75" customHeight="1" x14ac:dyDescent="0.2">
      <c r="A61" s="36">
        <v>1</v>
      </c>
      <c r="B61" s="65" t="s">
        <v>49</v>
      </c>
      <c r="C61" s="37" t="s">
        <v>49</v>
      </c>
      <c r="D61" s="37" t="s">
        <v>50</v>
      </c>
      <c r="E61" s="37" t="s">
        <v>57</v>
      </c>
      <c r="F61" s="63">
        <v>54401</v>
      </c>
      <c r="G61" s="35" t="s">
        <v>227</v>
      </c>
      <c r="H61" s="403">
        <v>0</v>
      </c>
    </row>
    <row r="62" spans="1:8" ht="15.75" customHeight="1" x14ac:dyDescent="0.2">
      <c r="A62" s="36">
        <v>1</v>
      </c>
      <c r="B62" s="65" t="s">
        <v>49</v>
      </c>
      <c r="C62" s="37" t="s">
        <v>49</v>
      </c>
      <c r="D62" s="37" t="s">
        <v>50</v>
      </c>
      <c r="E62" s="37" t="s">
        <v>57</v>
      </c>
      <c r="F62" s="63">
        <v>54402</v>
      </c>
      <c r="G62" s="35" t="s">
        <v>228</v>
      </c>
      <c r="H62" s="403">
        <v>0</v>
      </c>
    </row>
    <row r="63" spans="1:8" ht="15.75" customHeight="1" x14ac:dyDescent="0.2">
      <c r="A63" s="36">
        <v>1</v>
      </c>
      <c r="B63" s="65" t="s">
        <v>49</v>
      </c>
      <c r="C63" s="37" t="s">
        <v>49</v>
      </c>
      <c r="D63" s="37" t="s">
        <v>50</v>
      </c>
      <c r="E63" s="37" t="s">
        <v>57</v>
      </c>
      <c r="F63" s="63">
        <v>54403</v>
      </c>
      <c r="G63" s="35" t="s">
        <v>207</v>
      </c>
      <c r="H63" s="403">
        <v>0</v>
      </c>
    </row>
    <row r="64" spans="1:8" ht="15.75" customHeight="1" x14ac:dyDescent="0.2">
      <c r="A64" s="36"/>
      <c r="B64" s="65"/>
      <c r="C64" s="37"/>
      <c r="D64" s="37"/>
      <c r="E64" s="37"/>
      <c r="F64" s="63">
        <v>54404</v>
      </c>
      <c r="G64" s="35" t="s">
        <v>608</v>
      </c>
      <c r="H64" s="403">
        <v>0</v>
      </c>
    </row>
    <row r="65" spans="1:8" ht="15.75" customHeight="1" x14ac:dyDescent="0.2">
      <c r="A65" s="36"/>
      <c r="B65" s="65"/>
      <c r="C65" s="37"/>
      <c r="D65" s="37"/>
      <c r="E65" s="37"/>
      <c r="F65" s="63">
        <v>54502</v>
      </c>
      <c r="G65" s="35" t="s">
        <v>345</v>
      </c>
      <c r="H65" s="403">
        <v>0</v>
      </c>
    </row>
    <row r="66" spans="1:8" ht="15.75" customHeight="1" x14ac:dyDescent="0.2">
      <c r="A66" s="36">
        <v>1</v>
      </c>
      <c r="B66" s="65" t="s">
        <v>49</v>
      </c>
      <c r="C66" s="37" t="s">
        <v>49</v>
      </c>
      <c r="D66" s="37" t="s">
        <v>50</v>
      </c>
      <c r="E66" s="37" t="s">
        <v>57</v>
      </c>
      <c r="F66" s="63">
        <v>54503</v>
      </c>
      <c r="G66" s="446" t="s">
        <v>75</v>
      </c>
      <c r="H66" s="430">
        <f>1000-500</f>
        <v>500</v>
      </c>
    </row>
    <row r="67" spans="1:8" ht="15.75" customHeight="1" x14ac:dyDescent="0.2">
      <c r="A67" s="36">
        <v>1</v>
      </c>
      <c r="B67" s="65" t="s">
        <v>49</v>
      </c>
      <c r="C67" s="37" t="s">
        <v>49</v>
      </c>
      <c r="D67" s="37" t="s">
        <v>50</v>
      </c>
      <c r="E67" s="37" t="s">
        <v>57</v>
      </c>
      <c r="F67" s="63">
        <v>54504</v>
      </c>
      <c r="G67" s="446" t="s">
        <v>229</v>
      </c>
      <c r="H67" s="430">
        <f>1000-500</f>
        <v>500</v>
      </c>
    </row>
    <row r="68" spans="1:8" ht="15.75" customHeight="1" x14ac:dyDescent="0.2">
      <c r="A68" s="36"/>
      <c r="B68" s="65"/>
      <c r="C68" s="37"/>
      <c r="D68" s="37"/>
      <c r="E68" s="37"/>
      <c r="F68" s="63">
        <v>54505</v>
      </c>
      <c r="G68" s="446" t="s">
        <v>358</v>
      </c>
      <c r="H68" s="430">
        <f>3500-2500</f>
        <v>1000</v>
      </c>
    </row>
    <row r="69" spans="1:8" ht="15.75" customHeight="1" x14ac:dyDescent="0.2">
      <c r="A69" s="36"/>
      <c r="B69" s="65"/>
      <c r="C69" s="37"/>
      <c r="D69" s="37"/>
      <c r="E69" s="37"/>
      <c r="F69" s="63">
        <v>54507</v>
      </c>
      <c r="G69" s="35" t="s">
        <v>628</v>
      </c>
      <c r="H69" s="403">
        <v>0</v>
      </c>
    </row>
    <row r="70" spans="1:8" ht="15.75" customHeight="1" x14ac:dyDescent="0.2">
      <c r="A70" s="36">
        <v>1</v>
      </c>
      <c r="B70" s="65" t="s">
        <v>49</v>
      </c>
      <c r="C70" s="37" t="s">
        <v>49</v>
      </c>
      <c r="D70" s="37" t="s">
        <v>50</v>
      </c>
      <c r="E70" s="37" t="s">
        <v>57</v>
      </c>
      <c r="F70" s="63">
        <v>54599</v>
      </c>
      <c r="G70" s="35" t="s">
        <v>230</v>
      </c>
      <c r="H70" s="430">
        <f>1000-500</f>
        <v>500</v>
      </c>
    </row>
    <row r="71" spans="1:8" ht="15.75" customHeight="1" x14ac:dyDescent="0.2">
      <c r="A71" s="36"/>
      <c r="B71" s="65"/>
      <c r="C71" s="37"/>
      <c r="D71" s="37"/>
      <c r="E71" s="37"/>
      <c r="F71" s="63">
        <v>54602</v>
      </c>
      <c r="G71" s="35" t="s">
        <v>186</v>
      </c>
      <c r="H71" s="403"/>
    </row>
    <row r="72" spans="1:8" ht="15.75" customHeight="1" x14ac:dyDescent="0.2">
      <c r="A72" s="36"/>
      <c r="B72" s="65"/>
      <c r="C72" s="37"/>
      <c r="D72" s="37"/>
      <c r="E72" s="37"/>
      <c r="F72" s="63">
        <v>54603</v>
      </c>
      <c r="G72" s="35" t="s">
        <v>310</v>
      </c>
      <c r="H72" s="403">
        <v>0</v>
      </c>
    </row>
    <row r="73" spans="1:8" ht="15.75" customHeight="1" x14ac:dyDescent="0.2">
      <c r="A73" s="36"/>
      <c r="B73" s="65"/>
      <c r="C73" s="37"/>
      <c r="D73" s="37"/>
      <c r="E73" s="37"/>
      <c r="F73" s="63">
        <v>55601</v>
      </c>
      <c r="G73" s="35" t="s">
        <v>337</v>
      </c>
      <c r="H73" s="430">
        <v>1000</v>
      </c>
    </row>
    <row r="74" spans="1:8" ht="15.75" customHeight="1" x14ac:dyDescent="0.2">
      <c r="A74" s="36">
        <v>1</v>
      </c>
      <c r="B74" s="65" t="s">
        <v>49</v>
      </c>
      <c r="C74" s="37" t="s">
        <v>49</v>
      </c>
      <c r="D74" s="37" t="s">
        <v>50</v>
      </c>
      <c r="E74" s="37" t="s">
        <v>57</v>
      </c>
      <c r="F74" s="63">
        <v>55602</v>
      </c>
      <c r="G74" s="35" t="s">
        <v>231</v>
      </c>
      <c r="H74" s="430">
        <v>2000</v>
      </c>
    </row>
    <row r="75" spans="1:8" ht="15.75" customHeight="1" x14ac:dyDescent="0.2">
      <c r="A75" s="36">
        <v>1</v>
      </c>
      <c r="B75" s="65" t="s">
        <v>49</v>
      </c>
      <c r="C75" s="37" t="s">
        <v>49</v>
      </c>
      <c r="D75" s="37" t="s">
        <v>50</v>
      </c>
      <c r="E75" s="37" t="s">
        <v>57</v>
      </c>
      <c r="F75" s="63">
        <v>55603</v>
      </c>
      <c r="G75" s="35" t="s">
        <v>168</v>
      </c>
      <c r="H75" s="430">
        <v>100</v>
      </c>
    </row>
    <row r="76" spans="1:8" ht="15.75" customHeight="1" x14ac:dyDescent="0.2">
      <c r="A76" s="36">
        <v>1</v>
      </c>
      <c r="B76" s="65" t="s">
        <v>49</v>
      </c>
      <c r="C76" s="37" t="s">
        <v>49</v>
      </c>
      <c r="D76" s="37" t="s">
        <v>50</v>
      </c>
      <c r="E76" s="37" t="s">
        <v>57</v>
      </c>
      <c r="F76" s="63">
        <v>55703</v>
      </c>
      <c r="G76" s="35" t="s">
        <v>169</v>
      </c>
      <c r="H76" s="430">
        <v>100</v>
      </c>
    </row>
    <row r="77" spans="1:8" ht="15.75" customHeight="1" x14ac:dyDescent="0.2">
      <c r="A77" s="36">
        <v>1</v>
      </c>
      <c r="B77" s="65" t="s">
        <v>49</v>
      </c>
      <c r="C77" s="37" t="s">
        <v>49</v>
      </c>
      <c r="D77" s="37" t="s">
        <v>50</v>
      </c>
      <c r="E77" s="37" t="s">
        <v>57</v>
      </c>
      <c r="F77" s="63">
        <v>55799</v>
      </c>
      <c r="G77" s="35" t="s">
        <v>215</v>
      </c>
      <c r="H77" s="404"/>
    </row>
    <row r="78" spans="1:8" ht="24.95" customHeight="1" x14ac:dyDescent="0.2">
      <c r="A78" s="36"/>
      <c r="B78" s="65"/>
      <c r="C78" s="37"/>
      <c r="D78" s="37"/>
      <c r="E78" s="37"/>
      <c r="F78" s="63">
        <v>56301</v>
      </c>
      <c r="G78" s="226" t="s">
        <v>691</v>
      </c>
      <c r="H78" s="430">
        <f>6000-1000</f>
        <v>5000</v>
      </c>
    </row>
    <row r="79" spans="1:8" ht="24.95" customHeight="1" x14ac:dyDescent="0.2">
      <c r="A79" s="36"/>
      <c r="B79" s="65"/>
      <c r="C79" s="37"/>
      <c r="D79" s="37"/>
      <c r="E79" s="37"/>
      <c r="F79" s="63">
        <v>56303</v>
      </c>
      <c r="G79" s="226" t="str">
        <f>+Egresos!C120</f>
        <v>A Organismos sin fines de Lucro</v>
      </c>
      <c r="H79" s="430">
        <v>2000</v>
      </c>
    </row>
    <row r="80" spans="1:8" ht="15.75" customHeight="1" x14ac:dyDescent="0.2">
      <c r="A80" s="36">
        <v>1</v>
      </c>
      <c r="B80" s="65" t="s">
        <v>49</v>
      </c>
      <c r="C80" s="37" t="s">
        <v>49</v>
      </c>
      <c r="D80" s="37" t="s">
        <v>50</v>
      </c>
      <c r="E80" s="37" t="s">
        <v>57</v>
      </c>
      <c r="F80" s="63">
        <v>56304</v>
      </c>
      <c r="G80" s="35" t="s">
        <v>208</v>
      </c>
      <c r="H80" s="430">
        <v>2000</v>
      </c>
    </row>
    <row r="81" spans="1:8" ht="15.75" customHeight="1" x14ac:dyDescent="0.2">
      <c r="A81" s="36">
        <v>1</v>
      </c>
      <c r="B81" s="65" t="s">
        <v>49</v>
      </c>
      <c r="C81" s="37" t="s">
        <v>49</v>
      </c>
      <c r="D81" s="37" t="s">
        <v>50</v>
      </c>
      <c r="E81" s="37" t="s">
        <v>57</v>
      </c>
      <c r="F81" s="63">
        <v>61101</v>
      </c>
      <c r="G81" s="446" t="s">
        <v>171</v>
      </c>
      <c r="H81" s="430">
        <f>7575-2575-2500</f>
        <v>2500</v>
      </c>
    </row>
    <row r="82" spans="1:8" ht="15.75" customHeight="1" x14ac:dyDescent="0.2">
      <c r="A82" s="36"/>
      <c r="B82" s="65"/>
      <c r="C82" s="37"/>
      <c r="D82" s="37"/>
      <c r="E82" s="37"/>
      <c r="F82" s="63">
        <v>61102</v>
      </c>
      <c r="G82" s="35" t="s">
        <v>339</v>
      </c>
      <c r="H82" s="403">
        <v>0</v>
      </c>
    </row>
    <row r="83" spans="1:8" ht="15.75" customHeight="1" x14ac:dyDescent="0.2">
      <c r="A83" s="36"/>
      <c r="B83" s="65"/>
      <c r="C83" s="37"/>
      <c r="D83" s="37"/>
      <c r="E83" s="37"/>
      <c r="F83" s="63">
        <v>61104</v>
      </c>
      <c r="G83" s="35" t="s">
        <v>346</v>
      </c>
      <c r="H83" s="403">
        <v>0</v>
      </c>
    </row>
    <row r="84" spans="1:8" ht="15.75" customHeight="1" x14ac:dyDescent="0.2">
      <c r="A84" s="36">
        <v>1</v>
      </c>
      <c r="B84" s="65" t="s">
        <v>49</v>
      </c>
      <c r="C84" s="37" t="s">
        <v>49</v>
      </c>
      <c r="D84" s="37" t="s">
        <v>50</v>
      </c>
      <c r="E84" s="37" t="s">
        <v>57</v>
      </c>
      <c r="F84" s="63">
        <v>61199</v>
      </c>
      <c r="G84" s="35" t="s">
        <v>170</v>
      </c>
      <c r="H84" s="403"/>
    </row>
    <row r="85" spans="1:8" ht="15.75" customHeight="1" thickBot="1" x14ac:dyDescent="0.25">
      <c r="A85" s="69"/>
      <c r="B85" s="68"/>
      <c r="C85" s="68"/>
      <c r="D85" s="68"/>
      <c r="E85" s="70"/>
      <c r="F85" s="68"/>
      <c r="G85" s="67"/>
      <c r="H85" s="405"/>
    </row>
    <row r="86" spans="1:8" ht="31.5" customHeight="1" thickBot="1" x14ac:dyDescent="0.6">
      <c r="A86" s="621"/>
      <c r="B86" s="622"/>
      <c r="C86" s="622"/>
      <c r="D86" s="622"/>
      <c r="E86" s="622"/>
      <c r="F86" s="623"/>
      <c r="G86" s="384" t="s">
        <v>232</v>
      </c>
      <c r="H86" s="406">
        <f>SUM(H10:H85)</f>
        <v>445067.97</v>
      </c>
    </row>
    <row r="87" spans="1:8" x14ac:dyDescent="0.2">
      <c r="A87" s="31"/>
      <c r="B87" s="31"/>
      <c r="C87" s="31"/>
      <c r="D87" s="31"/>
      <c r="E87" s="31"/>
      <c r="F87" s="31"/>
      <c r="H87" s="407"/>
    </row>
    <row r="88" spans="1:8" x14ac:dyDescent="0.2">
      <c r="A88" s="31"/>
      <c r="B88" s="31"/>
      <c r="C88" s="31"/>
      <c r="D88" s="31"/>
      <c r="E88" s="31"/>
      <c r="F88" s="31"/>
      <c r="H88" s="407"/>
    </row>
    <row r="89" spans="1:8" x14ac:dyDescent="0.2">
      <c r="A89" s="578"/>
      <c r="B89" s="578"/>
      <c r="C89" s="578"/>
      <c r="D89" s="578"/>
      <c r="E89" s="578"/>
      <c r="F89" s="578"/>
      <c r="G89" s="578"/>
    </row>
    <row r="90" spans="1:8" x14ac:dyDescent="0.2">
      <c r="A90" s="31"/>
      <c r="B90" s="31"/>
      <c r="C90" s="31"/>
      <c r="D90" s="31"/>
      <c r="E90" s="31"/>
      <c r="F90" s="31"/>
    </row>
  </sheetData>
  <mergeCells count="14">
    <mergeCell ref="I1:K1"/>
    <mergeCell ref="H8:H9"/>
    <mergeCell ref="A6:H6"/>
    <mergeCell ref="A2:I2"/>
    <mergeCell ref="A86:F86"/>
    <mergeCell ref="A1:D1"/>
    <mergeCell ref="E1:H1"/>
    <mergeCell ref="A89:G89"/>
    <mergeCell ref="A3:H3"/>
    <mergeCell ref="A4:H4"/>
    <mergeCell ref="A5:H5"/>
    <mergeCell ref="A7:H7"/>
    <mergeCell ref="A8:F8"/>
    <mergeCell ref="G8:G9"/>
  </mergeCells>
  <phoneticPr fontId="2" type="noConversion"/>
  <pageMargins left="1.0236220472440944" right="0.78740157480314965" top="0.31496062992125984" bottom="0.47244094488188981" header="0" footer="0"/>
  <pageSetup paperSize="5" scale="72" orientation="portrait" r:id="rId1"/>
  <headerFooter alignWithMargins="0">
    <oddFooter>&amp;C pagina &amp;P</oddFooter>
  </headerFooter>
  <rowBreaks count="1" manualBreakCount="1">
    <brk id="45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3"/>
  <sheetViews>
    <sheetView view="pageBreakPreview" topLeftCell="A37" zoomScale="89" zoomScaleNormal="70" zoomScaleSheetLayoutView="89" workbookViewId="0">
      <selection activeCell="I39" sqref="I39"/>
    </sheetView>
  </sheetViews>
  <sheetFormatPr baseColWidth="10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3.42578125" style="24" customWidth="1"/>
    <col min="7" max="7" width="46.42578125" style="19" customWidth="1"/>
    <col min="8" max="8" width="24.5703125" style="4" customWidth="1"/>
    <col min="9" max="9" width="13" style="194" bestFit="1" customWidth="1"/>
    <col min="10" max="10" width="12.85546875" style="21" bestFit="1" customWidth="1"/>
    <col min="11" max="11" width="14.28515625" style="21" customWidth="1"/>
    <col min="12" max="16384" width="11.42578125" style="21"/>
  </cols>
  <sheetData>
    <row r="1" spans="1:11" ht="20.25" x14ac:dyDescent="0.25">
      <c r="A1" s="560"/>
      <c r="B1" s="560"/>
      <c r="C1" s="560"/>
      <c r="D1" s="560"/>
      <c r="E1" s="560"/>
      <c r="F1" s="560"/>
      <c r="G1" s="560"/>
      <c r="H1" s="560"/>
      <c r="I1" s="236"/>
    </row>
    <row r="2" spans="1:11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268"/>
      <c r="K2" s="86"/>
    </row>
    <row r="3" spans="1:11" ht="15.75" x14ac:dyDescent="0.25">
      <c r="A3" s="624" t="s">
        <v>175</v>
      </c>
      <c r="B3" s="557"/>
      <c r="C3" s="557"/>
      <c r="D3" s="557"/>
      <c r="E3" s="557"/>
      <c r="F3" s="557"/>
      <c r="G3" s="557"/>
      <c r="H3" s="557"/>
      <c r="K3" s="86"/>
    </row>
    <row r="4" spans="1:11" ht="15.75" x14ac:dyDescent="0.25">
      <c r="A4" s="624" t="s">
        <v>640</v>
      </c>
      <c r="B4" s="557"/>
      <c r="C4" s="557"/>
      <c r="D4" s="557"/>
      <c r="E4" s="557"/>
      <c r="F4" s="557"/>
      <c r="G4" s="557"/>
      <c r="H4" s="557"/>
      <c r="K4" s="86"/>
    </row>
    <row r="5" spans="1:11" ht="15" x14ac:dyDescent="0.2">
      <c r="A5" s="635" t="s">
        <v>11</v>
      </c>
      <c r="B5" s="636"/>
      <c r="C5" s="636"/>
      <c r="D5" s="636"/>
      <c r="E5" s="636"/>
      <c r="F5" s="636"/>
      <c r="G5" s="636"/>
      <c r="H5" s="636"/>
      <c r="K5" s="86"/>
    </row>
    <row r="6" spans="1:11" ht="8.25" customHeight="1" x14ac:dyDescent="0.25">
      <c r="A6" s="637"/>
      <c r="B6" s="638"/>
      <c r="C6" s="638"/>
      <c r="D6" s="638"/>
      <c r="E6" s="638"/>
      <c r="F6" s="638"/>
      <c r="G6" s="638"/>
      <c r="H6" s="638"/>
    </row>
    <row r="7" spans="1:11" ht="15" x14ac:dyDescent="0.25">
      <c r="A7" s="639" t="s">
        <v>13</v>
      </c>
      <c r="B7" s="639"/>
      <c r="C7" s="639"/>
      <c r="D7" s="639"/>
      <c r="E7" s="639"/>
      <c r="F7" s="639"/>
      <c r="G7" s="639"/>
      <c r="H7" s="639"/>
      <c r="K7" s="86"/>
    </row>
    <row r="8" spans="1:11" ht="15.75" thickBot="1" x14ac:dyDescent="0.3">
      <c r="A8" s="625" t="s">
        <v>56</v>
      </c>
      <c r="B8" s="625"/>
      <c r="C8" s="625"/>
      <c r="D8" s="625"/>
      <c r="E8" s="625"/>
      <c r="F8" s="625"/>
      <c r="G8" s="625"/>
      <c r="H8" s="625"/>
      <c r="K8" s="86"/>
    </row>
    <row r="9" spans="1:11" ht="13.5" thickBot="1" x14ac:dyDescent="0.25">
      <c r="A9" s="629" t="s">
        <v>0</v>
      </c>
      <c r="B9" s="630"/>
      <c r="C9" s="630"/>
      <c r="D9" s="630"/>
      <c r="E9" s="630"/>
      <c r="F9" s="630"/>
      <c r="G9" s="631" t="s">
        <v>151</v>
      </c>
      <c r="H9" s="633" t="s">
        <v>152</v>
      </c>
      <c r="K9" s="86"/>
    </row>
    <row r="10" spans="1:11" s="22" customFormat="1" ht="183.75" customHeight="1" thickBot="1" x14ac:dyDescent="0.25">
      <c r="A10" s="330" t="s">
        <v>144</v>
      </c>
      <c r="B10" s="331" t="s">
        <v>145</v>
      </c>
      <c r="C10" s="331" t="s">
        <v>122</v>
      </c>
      <c r="D10" s="331" t="s">
        <v>150</v>
      </c>
      <c r="E10" s="332" t="s">
        <v>147</v>
      </c>
      <c r="F10" s="333" t="s">
        <v>148</v>
      </c>
      <c r="G10" s="632"/>
      <c r="H10" s="634"/>
      <c r="I10" s="199"/>
      <c r="K10" s="87"/>
    </row>
    <row r="11" spans="1:11" ht="15.75" customHeight="1" x14ac:dyDescent="0.2">
      <c r="A11" s="9">
        <v>1</v>
      </c>
      <c r="B11" s="10" t="s">
        <v>49</v>
      </c>
      <c r="C11" s="10" t="s">
        <v>49</v>
      </c>
      <c r="D11" s="10" t="s">
        <v>51</v>
      </c>
      <c r="E11" s="71" t="s">
        <v>52</v>
      </c>
      <c r="F11" s="74" t="s">
        <v>34</v>
      </c>
      <c r="G11" s="12" t="s">
        <v>35</v>
      </c>
      <c r="H11" s="14">
        <f>8043.05*12</f>
        <v>96516.6</v>
      </c>
      <c r="I11" s="235"/>
      <c r="K11" s="88"/>
    </row>
    <row r="12" spans="1:11" ht="15.75" customHeight="1" x14ac:dyDescent="0.2">
      <c r="A12" s="8">
        <v>1</v>
      </c>
      <c r="B12" s="1" t="s">
        <v>49</v>
      </c>
      <c r="C12" s="1" t="s">
        <v>49</v>
      </c>
      <c r="D12" s="1" t="s">
        <v>51</v>
      </c>
      <c r="E12" s="72" t="s">
        <v>52</v>
      </c>
      <c r="F12" s="2">
        <v>51103</v>
      </c>
      <c r="G12" s="6" t="s">
        <v>36</v>
      </c>
      <c r="H12" s="15">
        <v>8043.05</v>
      </c>
      <c r="I12" s="235"/>
    </row>
    <row r="13" spans="1:11" ht="15.75" customHeight="1" x14ac:dyDescent="0.2">
      <c r="A13" s="8">
        <v>1</v>
      </c>
      <c r="B13" s="1" t="s">
        <v>49</v>
      </c>
      <c r="C13" s="1" t="s">
        <v>49</v>
      </c>
      <c r="D13" s="1" t="s">
        <v>51</v>
      </c>
      <c r="E13" s="71" t="s">
        <v>52</v>
      </c>
      <c r="F13" s="2">
        <v>51105</v>
      </c>
      <c r="G13" s="6" t="s">
        <v>71</v>
      </c>
      <c r="H13" s="13">
        <f>10560*2</f>
        <v>21120</v>
      </c>
      <c r="I13" s="235"/>
    </row>
    <row r="14" spans="1:11" ht="15.75" customHeight="1" x14ac:dyDescent="0.2">
      <c r="A14" s="8"/>
      <c r="B14" s="1"/>
      <c r="C14" s="1"/>
      <c r="D14" s="1"/>
      <c r="E14" s="71"/>
      <c r="F14" s="2">
        <v>51107</v>
      </c>
      <c r="G14" s="6" t="s">
        <v>534</v>
      </c>
      <c r="H14" s="15">
        <v>1000</v>
      </c>
      <c r="I14" s="235"/>
    </row>
    <row r="15" spans="1:11" ht="15.75" customHeight="1" x14ac:dyDescent="0.2">
      <c r="A15" s="8">
        <v>1</v>
      </c>
      <c r="B15" s="1" t="s">
        <v>49</v>
      </c>
      <c r="C15" s="1" t="s">
        <v>49</v>
      </c>
      <c r="D15" s="1" t="s">
        <v>51</v>
      </c>
      <c r="E15" s="71" t="s">
        <v>52</v>
      </c>
      <c r="F15" s="2">
        <v>51201</v>
      </c>
      <c r="G15" s="6" t="s">
        <v>35</v>
      </c>
      <c r="H15" s="13"/>
      <c r="I15" s="235"/>
    </row>
    <row r="16" spans="1:11" ht="15.75" customHeight="1" x14ac:dyDescent="0.2">
      <c r="A16" s="8">
        <v>1</v>
      </c>
      <c r="B16" s="1" t="s">
        <v>49</v>
      </c>
      <c r="C16" s="1" t="s">
        <v>49</v>
      </c>
      <c r="D16" s="1" t="s">
        <v>51</v>
      </c>
      <c r="E16" s="71" t="s">
        <v>52</v>
      </c>
      <c r="F16" s="2">
        <v>51202</v>
      </c>
      <c r="G16" s="6" t="s">
        <v>155</v>
      </c>
      <c r="H16" s="13"/>
      <c r="I16" s="235"/>
    </row>
    <row r="17" spans="1:9" ht="15.75" customHeight="1" x14ac:dyDescent="0.2">
      <c r="A17" s="8">
        <v>1</v>
      </c>
      <c r="B17" s="1" t="s">
        <v>49</v>
      </c>
      <c r="C17" s="1" t="s">
        <v>49</v>
      </c>
      <c r="D17" s="1" t="s">
        <v>51</v>
      </c>
      <c r="E17" s="72" t="s">
        <v>52</v>
      </c>
      <c r="F17" s="259">
        <v>51401</v>
      </c>
      <c r="G17" s="260" t="s">
        <v>535</v>
      </c>
      <c r="H17" s="261">
        <v>19797.12</v>
      </c>
      <c r="I17" s="235"/>
    </row>
    <row r="18" spans="1:9" ht="15.75" customHeight="1" x14ac:dyDescent="0.2">
      <c r="A18" s="8">
        <v>1</v>
      </c>
      <c r="B18" s="1" t="s">
        <v>49</v>
      </c>
      <c r="C18" s="1" t="s">
        <v>49</v>
      </c>
      <c r="D18" s="1" t="s">
        <v>51</v>
      </c>
      <c r="E18" s="72" t="s">
        <v>52</v>
      </c>
      <c r="F18" s="259">
        <v>51501</v>
      </c>
      <c r="G18" s="260" t="s">
        <v>536</v>
      </c>
      <c r="H18" s="261">
        <v>19259.28</v>
      </c>
      <c r="I18" s="235"/>
    </row>
    <row r="19" spans="1:9" ht="15.75" customHeight="1" x14ac:dyDescent="0.2">
      <c r="A19" s="8"/>
      <c r="B19" s="1"/>
      <c r="C19" s="1"/>
      <c r="D19" s="1"/>
      <c r="E19" s="72"/>
      <c r="F19" s="259">
        <v>51601</v>
      </c>
      <c r="G19" s="260" t="s">
        <v>580</v>
      </c>
      <c r="H19" s="261">
        <v>9000</v>
      </c>
    </row>
    <row r="20" spans="1:9" ht="15.75" customHeight="1" x14ac:dyDescent="0.2">
      <c r="A20" s="8"/>
      <c r="B20" s="1"/>
      <c r="C20" s="1"/>
      <c r="D20" s="1"/>
      <c r="E20" s="72"/>
      <c r="F20" s="412">
        <v>51602</v>
      </c>
      <c r="G20" s="85" t="s">
        <v>336</v>
      </c>
      <c r="H20" s="261"/>
    </row>
    <row r="21" spans="1:9" ht="15.75" customHeight="1" x14ac:dyDescent="0.2">
      <c r="A21" s="8">
        <v>1</v>
      </c>
      <c r="B21" s="1" t="s">
        <v>49</v>
      </c>
      <c r="C21" s="1" t="s">
        <v>49</v>
      </c>
      <c r="D21" s="1" t="s">
        <v>51</v>
      </c>
      <c r="E21" s="72" t="s">
        <v>52</v>
      </c>
      <c r="F21" s="2">
        <v>51999</v>
      </c>
      <c r="G21" s="6" t="s">
        <v>172</v>
      </c>
      <c r="H21" s="524">
        <v>111133.89</v>
      </c>
    </row>
    <row r="22" spans="1:9" ht="15.75" customHeight="1" x14ac:dyDescent="0.2">
      <c r="A22" s="8">
        <v>1</v>
      </c>
      <c r="B22" s="1" t="s">
        <v>49</v>
      </c>
      <c r="C22" s="1" t="s">
        <v>49</v>
      </c>
      <c r="D22" s="1" t="s">
        <v>51</v>
      </c>
      <c r="E22" s="72" t="s">
        <v>52</v>
      </c>
      <c r="F22" s="2">
        <v>54101</v>
      </c>
      <c r="G22" s="6" t="s">
        <v>38</v>
      </c>
      <c r="H22" s="15">
        <f>2987.5-1000</f>
        <v>1987.5</v>
      </c>
    </row>
    <row r="23" spans="1:9" ht="15.75" customHeight="1" x14ac:dyDescent="0.2">
      <c r="A23" s="8">
        <v>1</v>
      </c>
      <c r="B23" s="1" t="s">
        <v>49</v>
      </c>
      <c r="C23" s="1" t="s">
        <v>49</v>
      </c>
      <c r="D23" s="1" t="s">
        <v>51</v>
      </c>
      <c r="E23" s="72" t="s">
        <v>52</v>
      </c>
      <c r="F23" s="2">
        <v>54104</v>
      </c>
      <c r="G23" s="433" t="s">
        <v>156</v>
      </c>
      <c r="H23" s="15">
        <f>8790-2000-2000</f>
        <v>4790</v>
      </c>
    </row>
    <row r="24" spans="1:9" ht="15.75" customHeight="1" x14ac:dyDescent="0.2">
      <c r="A24" s="8">
        <v>1</v>
      </c>
      <c r="B24" s="1" t="s">
        <v>49</v>
      </c>
      <c r="C24" s="1" t="s">
        <v>49</v>
      </c>
      <c r="D24" s="1" t="s">
        <v>51</v>
      </c>
      <c r="E24" s="72" t="s">
        <v>52</v>
      </c>
      <c r="F24" s="2">
        <v>54105</v>
      </c>
      <c r="G24" s="6" t="s">
        <v>39</v>
      </c>
      <c r="H24" s="15">
        <f>7965.25-2965.25</f>
        <v>5000</v>
      </c>
    </row>
    <row r="25" spans="1:9" ht="15.75" customHeight="1" x14ac:dyDescent="0.2">
      <c r="A25" s="8"/>
      <c r="B25" s="1"/>
      <c r="C25" s="1"/>
      <c r="D25" s="1"/>
      <c r="E25" s="72"/>
      <c r="F25" s="2">
        <v>54106</v>
      </c>
      <c r="G25" s="433" t="s">
        <v>692</v>
      </c>
      <c r="H25" s="15">
        <f>4036.5-2000-1536.5</f>
        <v>500</v>
      </c>
    </row>
    <row r="26" spans="1:9" ht="15.75" customHeight="1" x14ac:dyDescent="0.2">
      <c r="A26" s="8">
        <v>1</v>
      </c>
      <c r="B26" s="1" t="s">
        <v>49</v>
      </c>
      <c r="C26" s="1" t="s">
        <v>49</v>
      </c>
      <c r="D26" s="1" t="s">
        <v>51</v>
      </c>
      <c r="E26" s="72" t="s">
        <v>52</v>
      </c>
      <c r="F26" s="2">
        <v>54107</v>
      </c>
      <c r="G26" s="6" t="s">
        <v>158</v>
      </c>
      <c r="H26" s="15">
        <f>3425-2425</f>
        <v>1000</v>
      </c>
    </row>
    <row r="27" spans="1:9" ht="15.75" customHeight="1" x14ac:dyDescent="0.2">
      <c r="A27" s="8">
        <v>1</v>
      </c>
      <c r="B27" s="1" t="s">
        <v>49</v>
      </c>
      <c r="C27" s="1" t="s">
        <v>49</v>
      </c>
      <c r="D27" s="1" t="s">
        <v>51</v>
      </c>
      <c r="E27" s="72" t="s">
        <v>52</v>
      </c>
      <c r="F27" s="2">
        <v>54108</v>
      </c>
      <c r="G27" s="6" t="s">
        <v>223</v>
      </c>
      <c r="H27" s="15">
        <v>462.5</v>
      </c>
    </row>
    <row r="28" spans="1:9" ht="15.75" customHeight="1" x14ac:dyDescent="0.2">
      <c r="A28" s="8">
        <v>1</v>
      </c>
      <c r="B28" s="1" t="s">
        <v>49</v>
      </c>
      <c r="C28" s="1" t="s">
        <v>49</v>
      </c>
      <c r="D28" s="1" t="s">
        <v>51</v>
      </c>
      <c r="E28" s="72" t="s">
        <v>52</v>
      </c>
      <c r="F28" s="2">
        <v>54109</v>
      </c>
      <c r="G28" s="6" t="s">
        <v>159</v>
      </c>
      <c r="H28" s="15">
        <v>200</v>
      </c>
    </row>
    <row r="29" spans="1:9" ht="15.75" customHeight="1" x14ac:dyDescent="0.2">
      <c r="A29" s="8">
        <v>1</v>
      </c>
      <c r="B29" s="1" t="s">
        <v>49</v>
      </c>
      <c r="C29" s="1" t="s">
        <v>49</v>
      </c>
      <c r="D29" s="1" t="s">
        <v>51</v>
      </c>
      <c r="E29" s="72" t="s">
        <v>52</v>
      </c>
      <c r="F29" s="2">
        <v>54110</v>
      </c>
      <c r="G29" s="6" t="s">
        <v>40</v>
      </c>
      <c r="H29" s="15"/>
    </row>
    <row r="30" spans="1:9" ht="15.75" customHeight="1" x14ac:dyDescent="0.2">
      <c r="A30" s="8">
        <v>1</v>
      </c>
      <c r="B30" s="1" t="s">
        <v>49</v>
      </c>
      <c r="C30" s="1" t="s">
        <v>49</v>
      </c>
      <c r="D30" s="1" t="s">
        <v>51</v>
      </c>
      <c r="E30" s="72" t="s">
        <v>52</v>
      </c>
      <c r="F30" s="2">
        <v>54111</v>
      </c>
      <c r="G30" s="6" t="s">
        <v>47</v>
      </c>
      <c r="H30" s="15">
        <v>850</v>
      </c>
    </row>
    <row r="31" spans="1:9" ht="15.75" customHeight="1" x14ac:dyDescent="0.2">
      <c r="A31" s="8">
        <v>1</v>
      </c>
      <c r="B31" s="1" t="s">
        <v>49</v>
      </c>
      <c r="C31" s="1" t="s">
        <v>49</v>
      </c>
      <c r="D31" s="1" t="s">
        <v>51</v>
      </c>
      <c r="E31" s="72" t="s">
        <v>52</v>
      </c>
      <c r="F31" s="2">
        <v>54112</v>
      </c>
      <c r="G31" s="6" t="s">
        <v>46</v>
      </c>
      <c r="H31" s="15">
        <f>2975-1975</f>
        <v>1000</v>
      </c>
    </row>
    <row r="32" spans="1:9" ht="15.75" customHeight="1" x14ac:dyDescent="0.2">
      <c r="A32" s="8"/>
      <c r="B32" s="1"/>
      <c r="C32" s="1"/>
      <c r="D32" s="1"/>
      <c r="E32" s="72"/>
      <c r="F32" s="2">
        <v>54113</v>
      </c>
      <c r="G32" s="6" t="s">
        <v>623</v>
      </c>
      <c r="H32" s="15"/>
    </row>
    <row r="33" spans="1:11" ht="15.75" customHeight="1" x14ac:dyDescent="0.2">
      <c r="A33" s="8">
        <v>1</v>
      </c>
      <c r="B33" s="1" t="s">
        <v>49</v>
      </c>
      <c r="C33" s="1" t="s">
        <v>49</v>
      </c>
      <c r="D33" s="1" t="s">
        <v>51</v>
      </c>
      <c r="E33" s="72" t="s">
        <v>52</v>
      </c>
      <c r="F33" s="2">
        <v>54114</v>
      </c>
      <c r="G33" s="433" t="s">
        <v>41</v>
      </c>
      <c r="H33" s="15">
        <f>7421.5-1000-2000</f>
        <v>4421.5</v>
      </c>
    </row>
    <row r="34" spans="1:11" ht="15.75" customHeight="1" x14ac:dyDescent="0.2">
      <c r="A34" s="8">
        <v>1</v>
      </c>
      <c r="B34" s="1" t="s">
        <v>49</v>
      </c>
      <c r="C34" s="1" t="s">
        <v>49</v>
      </c>
      <c r="D34" s="1" t="s">
        <v>51</v>
      </c>
      <c r="E34" s="72" t="s">
        <v>52</v>
      </c>
      <c r="F34" s="2">
        <v>54115</v>
      </c>
      <c r="G34" s="433" t="s">
        <v>76</v>
      </c>
      <c r="H34" s="15">
        <f>8040-1000-2040</f>
        <v>5000</v>
      </c>
    </row>
    <row r="35" spans="1:11" ht="15.75" customHeight="1" x14ac:dyDescent="0.2">
      <c r="A35" s="8">
        <v>1</v>
      </c>
      <c r="B35" s="1" t="s">
        <v>49</v>
      </c>
      <c r="C35" s="1" t="s">
        <v>49</v>
      </c>
      <c r="D35" s="1" t="s">
        <v>51</v>
      </c>
      <c r="E35" s="72" t="s">
        <v>52</v>
      </c>
      <c r="F35" s="2">
        <v>54116</v>
      </c>
      <c r="G35" s="6" t="s">
        <v>234</v>
      </c>
      <c r="H35" s="15">
        <v>550</v>
      </c>
    </row>
    <row r="36" spans="1:11" ht="15.75" customHeight="1" x14ac:dyDescent="0.2">
      <c r="A36" s="8"/>
      <c r="B36" s="1"/>
      <c r="C36" s="1"/>
      <c r="D36" s="1"/>
      <c r="E36" s="72"/>
      <c r="F36" s="2">
        <v>54117</v>
      </c>
      <c r="G36" s="6" t="s">
        <v>624</v>
      </c>
      <c r="H36" s="15">
        <v>600</v>
      </c>
    </row>
    <row r="37" spans="1:11" ht="15.75" customHeight="1" thickBot="1" x14ac:dyDescent="0.25">
      <c r="A37" s="8">
        <v>1</v>
      </c>
      <c r="B37" s="1" t="s">
        <v>49</v>
      </c>
      <c r="C37" s="1" t="s">
        <v>49</v>
      </c>
      <c r="D37" s="1" t="s">
        <v>51</v>
      </c>
      <c r="E37" s="72" t="s">
        <v>52</v>
      </c>
      <c r="F37" s="2">
        <v>54118</v>
      </c>
      <c r="G37" s="6" t="s">
        <v>209</v>
      </c>
      <c r="H37" s="15">
        <f>2575-1575</f>
        <v>1000</v>
      </c>
    </row>
    <row r="38" spans="1:11" ht="13.5" thickBot="1" x14ac:dyDescent="0.25">
      <c r="A38" s="629" t="s">
        <v>0</v>
      </c>
      <c r="B38" s="630"/>
      <c r="C38" s="630"/>
      <c r="D38" s="630"/>
      <c r="E38" s="630"/>
      <c r="F38" s="630"/>
      <c r="G38" s="631" t="s">
        <v>151</v>
      </c>
      <c r="H38" s="633" t="s">
        <v>152</v>
      </c>
      <c r="K38" s="86"/>
    </row>
    <row r="39" spans="1:11" s="22" customFormat="1" ht="183.75" customHeight="1" thickBot="1" x14ac:dyDescent="0.25">
      <c r="A39" s="330" t="s">
        <v>144</v>
      </c>
      <c r="B39" s="331" t="s">
        <v>145</v>
      </c>
      <c r="C39" s="331" t="s">
        <v>122</v>
      </c>
      <c r="D39" s="331" t="s">
        <v>150</v>
      </c>
      <c r="E39" s="332" t="s">
        <v>147</v>
      </c>
      <c r="F39" s="333" t="s">
        <v>148</v>
      </c>
      <c r="G39" s="632"/>
      <c r="H39" s="634"/>
      <c r="I39" s="199"/>
      <c r="K39" s="87"/>
    </row>
    <row r="40" spans="1:11" ht="15.75" customHeight="1" x14ac:dyDescent="0.2">
      <c r="A40" s="8">
        <v>1</v>
      </c>
      <c r="B40" s="1" t="s">
        <v>49</v>
      </c>
      <c r="C40" s="1" t="s">
        <v>49</v>
      </c>
      <c r="D40" s="1" t="s">
        <v>51</v>
      </c>
      <c r="E40" s="72" t="s">
        <v>52</v>
      </c>
      <c r="F40" s="2">
        <v>54119</v>
      </c>
      <c r="G40" s="433" t="s">
        <v>89</v>
      </c>
      <c r="H40" s="15">
        <f>2605-1000-605</f>
        <v>1000</v>
      </c>
    </row>
    <row r="41" spans="1:11" ht="15.75" customHeight="1" x14ac:dyDescent="0.2">
      <c r="A41" s="8">
        <v>1</v>
      </c>
      <c r="B41" s="1" t="s">
        <v>49</v>
      </c>
      <c r="C41" s="1" t="s">
        <v>49</v>
      </c>
      <c r="D41" s="1" t="s">
        <v>51</v>
      </c>
      <c r="E41" s="72" t="s">
        <v>52</v>
      </c>
      <c r="F41" s="2">
        <v>54121</v>
      </c>
      <c r="G41" s="6" t="s">
        <v>78</v>
      </c>
      <c r="H41" s="15"/>
    </row>
    <row r="42" spans="1:11" ht="15.75" customHeight="1" x14ac:dyDescent="0.2">
      <c r="A42" s="8">
        <v>1</v>
      </c>
      <c r="B42" s="1" t="s">
        <v>49</v>
      </c>
      <c r="C42" s="1" t="s">
        <v>49</v>
      </c>
      <c r="D42" s="1" t="s">
        <v>51</v>
      </c>
      <c r="E42" s="72" t="s">
        <v>52</v>
      </c>
      <c r="F42" s="2">
        <v>54199</v>
      </c>
      <c r="G42" s="6" t="s">
        <v>214</v>
      </c>
      <c r="H42" s="183">
        <f>6780-1780</f>
        <v>5000</v>
      </c>
    </row>
    <row r="43" spans="1:11" ht="15.75" customHeight="1" x14ac:dyDescent="0.2">
      <c r="A43" s="8">
        <v>1</v>
      </c>
      <c r="B43" s="1" t="s">
        <v>49</v>
      </c>
      <c r="C43" s="1" t="s">
        <v>49</v>
      </c>
      <c r="D43" s="1" t="s">
        <v>51</v>
      </c>
      <c r="E43" s="72" t="s">
        <v>52</v>
      </c>
      <c r="F43" s="2">
        <v>54201</v>
      </c>
      <c r="G43" s="6" t="s">
        <v>42</v>
      </c>
      <c r="H43" s="15">
        <f>6000*12-20781.62</f>
        <v>51218.380000000005</v>
      </c>
    </row>
    <row r="44" spans="1:11" ht="15.75" customHeight="1" x14ac:dyDescent="0.2">
      <c r="A44" s="8">
        <v>1</v>
      </c>
      <c r="B44" s="1" t="s">
        <v>49</v>
      </c>
      <c r="C44" s="1" t="s">
        <v>49</v>
      </c>
      <c r="D44" s="1" t="s">
        <v>51</v>
      </c>
      <c r="E44" s="72" t="s">
        <v>52</v>
      </c>
      <c r="F44" s="2">
        <v>54202</v>
      </c>
      <c r="G44" s="6" t="s">
        <v>43</v>
      </c>
      <c r="H44" s="15">
        <v>3000</v>
      </c>
    </row>
    <row r="45" spans="1:11" ht="15.75" customHeight="1" x14ac:dyDescent="0.2">
      <c r="A45" s="8">
        <v>1</v>
      </c>
      <c r="B45" s="1" t="s">
        <v>49</v>
      </c>
      <c r="C45" s="1" t="s">
        <v>49</v>
      </c>
      <c r="D45" s="1" t="s">
        <v>51</v>
      </c>
      <c r="E45" s="72" t="s">
        <v>52</v>
      </c>
      <c r="F45" s="2">
        <v>54203</v>
      </c>
      <c r="G45" s="6" t="s">
        <v>44</v>
      </c>
      <c r="H45" s="15">
        <f>3000+5876.88</f>
        <v>8876.880000000001</v>
      </c>
    </row>
    <row r="46" spans="1:11" ht="15.75" customHeight="1" x14ac:dyDescent="0.2">
      <c r="A46" s="8">
        <v>1</v>
      </c>
      <c r="B46" s="1" t="s">
        <v>49</v>
      </c>
      <c r="C46" s="1" t="s">
        <v>49</v>
      </c>
      <c r="D46" s="1" t="s">
        <v>51</v>
      </c>
      <c r="E46" s="72" t="s">
        <v>52</v>
      </c>
      <c r="F46" s="2">
        <v>54204</v>
      </c>
      <c r="G46" s="6" t="s">
        <v>235</v>
      </c>
      <c r="H46" s="15"/>
    </row>
    <row r="47" spans="1:11" ht="15.75" customHeight="1" x14ac:dyDescent="0.2">
      <c r="A47" s="8">
        <v>1</v>
      </c>
      <c r="B47" s="1" t="s">
        <v>49</v>
      </c>
      <c r="C47" s="1" t="s">
        <v>49</v>
      </c>
      <c r="D47" s="1" t="s">
        <v>51</v>
      </c>
      <c r="E47" s="72" t="s">
        <v>52</v>
      </c>
      <c r="F47" s="2">
        <v>54205</v>
      </c>
      <c r="G47" s="6" t="s">
        <v>23</v>
      </c>
      <c r="H47" s="15"/>
    </row>
    <row r="48" spans="1:11" ht="15.75" customHeight="1" x14ac:dyDescent="0.2">
      <c r="A48" s="8">
        <v>1</v>
      </c>
      <c r="B48" s="1" t="s">
        <v>49</v>
      </c>
      <c r="C48" s="1" t="s">
        <v>49</v>
      </c>
      <c r="D48" s="1" t="s">
        <v>51</v>
      </c>
      <c r="E48" s="72" t="s">
        <v>52</v>
      </c>
      <c r="F48" s="2">
        <v>54301</v>
      </c>
      <c r="G48" s="6" t="s">
        <v>212</v>
      </c>
      <c r="H48" s="15">
        <f>1200-800</f>
        <v>400</v>
      </c>
    </row>
    <row r="49" spans="1:8" ht="15.75" customHeight="1" x14ac:dyDescent="0.2">
      <c r="A49" s="8">
        <v>1</v>
      </c>
      <c r="B49" s="1" t="s">
        <v>49</v>
      </c>
      <c r="C49" s="1" t="s">
        <v>49</v>
      </c>
      <c r="D49" s="1" t="s">
        <v>51</v>
      </c>
      <c r="E49" s="72" t="s">
        <v>52</v>
      </c>
      <c r="F49" s="2">
        <v>54302</v>
      </c>
      <c r="G49" s="6" t="s">
        <v>211</v>
      </c>
      <c r="H49" s="15">
        <v>1200</v>
      </c>
    </row>
    <row r="50" spans="1:8" ht="15.75" customHeight="1" x14ac:dyDescent="0.2">
      <c r="A50" s="8">
        <v>1</v>
      </c>
      <c r="B50" s="1" t="s">
        <v>49</v>
      </c>
      <c r="C50" s="1" t="s">
        <v>49</v>
      </c>
      <c r="D50" s="1" t="s">
        <v>51</v>
      </c>
      <c r="E50" s="72" t="s">
        <v>52</v>
      </c>
      <c r="F50" s="2">
        <v>54303</v>
      </c>
      <c r="G50" s="6" t="s">
        <v>210</v>
      </c>
      <c r="H50" s="15">
        <v>150</v>
      </c>
    </row>
    <row r="51" spans="1:8" ht="15.75" customHeight="1" x14ac:dyDescent="0.2">
      <c r="A51" s="8">
        <v>1</v>
      </c>
      <c r="B51" s="1" t="s">
        <v>49</v>
      </c>
      <c r="C51" s="1" t="s">
        <v>49</v>
      </c>
      <c r="D51" s="1" t="s">
        <v>51</v>
      </c>
      <c r="E51" s="72" t="s">
        <v>52</v>
      </c>
      <c r="F51" s="2">
        <v>54304</v>
      </c>
      <c r="G51" s="6" t="s">
        <v>85</v>
      </c>
      <c r="H51" s="15">
        <v>550</v>
      </c>
    </row>
    <row r="52" spans="1:8" ht="15.75" customHeight="1" x14ac:dyDescent="0.2">
      <c r="A52" s="8">
        <v>1</v>
      </c>
      <c r="B52" s="1" t="s">
        <v>49</v>
      </c>
      <c r="C52" s="1" t="s">
        <v>49</v>
      </c>
      <c r="D52" s="1" t="s">
        <v>51</v>
      </c>
      <c r="E52" s="72" t="s">
        <v>52</v>
      </c>
      <c r="F52" s="2">
        <v>54305</v>
      </c>
      <c r="G52" s="6" t="s">
        <v>73</v>
      </c>
      <c r="H52" s="15">
        <f>1100-100</f>
        <v>1000</v>
      </c>
    </row>
    <row r="53" spans="1:8" ht="15.75" customHeight="1" x14ac:dyDescent="0.2">
      <c r="A53" s="8">
        <v>1</v>
      </c>
      <c r="B53" s="1" t="s">
        <v>49</v>
      </c>
      <c r="C53" s="1" t="s">
        <v>49</v>
      </c>
      <c r="D53" s="1" t="s">
        <v>51</v>
      </c>
      <c r="E53" s="72" t="s">
        <v>52</v>
      </c>
      <c r="F53" s="2">
        <v>54310</v>
      </c>
      <c r="G53" s="6" t="s">
        <v>167</v>
      </c>
      <c r="H53" s="15"/>
    </row>
    <row r="54" spans="1:8" ht="15.75" customHeight="1" x14ac:dyDescent="0.2">
      <c r="A54" s="8">
        <v>1</v>
      </c>
      <c r="B54" s="1" t="s">
        <v>49</v>
      </c>
      <c r="C54" s="1" t="s">
        <v>49</v>
      </c>
      <c r="D54" s="1" t="s">
        <v>51</v>
      </c>
      <c r="E54" s="72" t="s">
        <v>52</v>
      </c>
      <c r="F54" s="2">
        <v>54313</v>
      </c>
      <c r="G54" s="6" t="s">
        <v>236</v>
      </c>
      <c r="H54" s="15">
        <v>1600</v>
      </c>
    </row>
    <row r="55" spans="1:8" ht="15.75" customHeight="1" x14ac:dyDescent="0.2">
      <c r="A55" s="8">
        <v>1</v>
      </c>
      <c r="B55" s="1" t="s">
        <v>49</v>
      </c>
      <c r="C55" s="1" t="s">
        <v>49</v>
      </c>
      <c r="D55" s="1" t="s">
        <v>51</v>
      </c>
      <c r="E55" s="72" t="s">
        <v>52</v>
      </c>
      <c r="F55" s="2">
        <v>54314</v>
      </c>
      <c r="G55" s="6" t="s">
        <v>79</v>
      </c>
      <c r="H55" s="15">
        <v>2625</v>
      </c>
    </row>
    <row r="56" spans="1:8" ht="15.75" customHeight="1" x14ac:dyDescent="0.2">
      <c r="A56" s="8"/>
      <c r="B56" s="1"/>
      <c r="C56" s="1"/>
      <c r="D56" s="1"/>
      <c r="E56" s="72"/>
      <c r="F56" s="2">
        <v>54316</v>
      </c>
      <c r="G56" s="6" t="s">
        <v>575</v>
      </c>
      <c r="H56" s="15">
        <v>750</v>
      </c>
    </row>
    <row r="57" spans="1:8" ht="15.75" customHeight="1" x14ac:dyDescent="0.2">
      <c r="A57" s="8"/>
      <c r="B57" s="1"/>
      <c r="C57" s="1"/>
      <c r="D57" s="1"/>
      <c r="E57" s="72"/>
      <c r="F57" s="2">
        <v>54317</v>
      </c>
      <c r="G57" s="6" t="s">
        <v>576</v>
      </c>
      <c r="H57" s="15">
        <f>7750-2750</f>
        <v>5000</v>
      </c>
    </row>
    <row r="58" spans="1:8" ht="15.75" customHeight="1" x14ac:dyDescent="0.2">
      <c r="A58" s="8"/>
      <c r="B58" s="1"/>
      <c r="C58" s="1"/>
      <c r="D58" s="1"/>
      <c r="E58" s="72"/>
      <c r="F58" s="2">
        <v>54399</v>
      </c>
      <c r="G58" s="6" t="s">
        <v>360</v>
      </c>
      <c r="H58" s="15"/>
    </row>
    <row r="59" spans="1:8" ht="15.75" customHeight="1" x14ac:dyDescent="0.2">
      <c r="A59" s="8">
        <v>1</v>
      </c>
      <c r="B59" s="1" t="s">
        <v>49</v>
      </c>
      <c r="C59" s="1" t="s">
        <v>49</v>
      </c>
      <c r="D59" s="1" t="s">
        <v>51</v>
      </c>
      <c r="E59" s="72" t="s">
        <v>52</v>
      </c>
      <c r="F59" s="2">
        <v>54401</v>
      </c>
      <c r="G59" s="6" t="s">
        <v>213</v>
      </c>
      <c r="H59" s="15"/>
    </row>
    <row r="60" spans="1:8" ht="15.75" customHeight="1" x14ac:dyDescent="0.2">
      <c r="A60" s="8">
        <v>1</v>
      </c>
      <c r="B60" s="1" t="s">
        <v>49</v>
      </c>
      <c r="C60" s="1" t="s">
        <v>49</v>
      </c>
      <c r="D60" s="1" t="s">
        <v>51</v>
      </c>
      <c r="E60" s="72" t="s">
        <v>52</v>
      </c>
      <c r="F60" s="2">
        <v>54403</v>
      </c>
      <c r="G60" s="6" t="s">
        <v>207</v>
      </c>
      <c r="H60" s="15"/>
    </row>
    <row r="61" spans="1:8" ht="15.75" customHeight="1" x14ac:dyDescent="0.2">
      <c r="A61" s="8">
        <v>1</v>
      </c>
      <c r="B61" s="1" t="s">
        <v>49</v>
      </c>
      <c r="C61" s="1" t="s">
        <v>49</v>
      </c>
      <c r="D61" s="1" t="s">
        <v>51</v>
      </c>
      <c r="E61" s="72" t="s">
        <v>52</v>
      </c>
      <c r="F61" s="2">
        <v>54503</v>
      </c>
      <c r="G61" s="6" t="s">
        <v>75</v>
      </c>
      <c r="H61" s="15">
        <v>14500</v>
      </c>
    </row>
    <row r="62" spans="1:8" ht="15.75" customHeight="1" x14ac:dyDescent="0.2">
      <c r="A62" s="8">
        <v>1</v>
      </c>
      <c r="B62" s="1" t="s">
        <v>49</v>
      </c>
      <c r="C62" s="1" t="s">
        <v>49</v>
      </c>
      <c r="D62" s="1" t="s">
        <v>51</v>
      </c>
      <c r="E62" s="72" t="s">
        <v>52</v>
      </c>
      <c r="F62" s="2">
        <v>54504</v>
      </c>
      <c r="G62" s="6" t="s">
        <v>80</v>
      </c>
      <c r="H62" s="15">
        <v>17000</v>
      </c>
    </row>
    <row r="63" spans="1:8" ht="15.75" customHeight="1" x14ac:dyDescent="0.2">
      <c r="A63" s="8">
        <v>1</v>
      </c>
      <c r="B63" s="1" t="s">
        <v>49</v>
      </c>
      <c r="C63" s="1" t="s">
        <v>49</v>
      </c>
      <c r="D63" s="1" t="s">
        <v>51</v>
      </c>
      <c r="E63" s="72" t="s">
        <v>52</v>
      </c>
      <c r="F63" s="2">
        <v>54507</v>
      </c>
      <c r="G63" s="6" t="s">
        <v>237</v>
      </c>
      <c r="H63" s="15"/>
    </row>
    <row r="64" spans="1:8" ht="15.75" customHeight="1" x14ac:dyDescent="0.2">
      <c r="A64" s="8">
        <v>1</v>
      </c>
      <c r="B64" s="1" t="s">
        <v>49</v>
      </c>
      <c r="C64" s="1" t="s">
        <v>49</v>
      </c>
      <c r="D64" s="1" t="s">
        <v>51</v>
      </c>
      <c r="E64" s="72" t="s">
        <v>52</v>
      </c>
      <c r="F64" s="2">
        <v>54508</v>
      </c>
      <c r="G64" s="6" t="s">
        <v>184</v>
      </c>
      <c r="H64" s="15"/>
    </row>
    <row r="65" spans="1:11" ht="15.75" customHeight="1" x14ac:dyDescent="0.2">
      <c r="A65" s="8">
        <v>1</v>
      </c>
      <c r="B65" s="1" t="s">
        <v>49</v>
      </c>
      <c r="C65" s="1" t="s">
        <v>49</v>
      </c>
      <c r="D65" s="1" t="s">
        <v>51</v>
      </c>
      <c r="E65" s="72" t="s">
        <v>52</v>
      </c>
      <c r="F65" s="2">
        <v>54599</v>
      </c>
      <c r="G65" s="6" t="s">
        <v>238</v>
      </c>
      <c r="H65" s="15">
        <f>5000-3000</f>
        <v>2000</v>
      </c>
    </row>
    <row r="66" spans="1:11" ht="15.75" customHeight="1" x14ac:dyDescent="0.2">
      <c r="A66" s="8">
        <v>1</v>
      </c>
      <c r="B66" s="1" t="s">
        <v>49</v>
      </c>
      <c r="C66" s="1" t="s">
        <v>49</v>
      </c>
      <c r="D66" s="1" t="s">
        <v>51</v>
      </c>
      <c r="E66" s="72" t="s">
        <v>52</v>
      </c>
      <c r="F66" s="2">
        <v>55508</v>
      </c>
      <c r="G66" s="6" t="s">
        <v>81</v>
      </c>
      <c r="H66" s="15"/>
    </row>
    <row r="67" spans="1:11" ht="15.75" customHeight="1" x14ac:dyDescent="0.2">
      <c r="A67" s="8">
        <v>1</v>
      </c>
      <c r="B67" s="1" t="s">
        <v>49</v>
      </c>
      <c r="C67" s="1" t="s">
        <v>49</v>
      </c>
      <c r="D67" s="1" t="s">
        <v>51</v>
      </c>
      <c r="E67" s="72" t="s">
        <v>52</v>
      </c>
      <c r="F67" s="2">
        <v>55601</v>
      </c>
      <c r="G67" s="6" t="s">
        <v>93</v>
      </c>
      <c r="H67" s="15">
        <v>1000</v>
      </c>
    </row>
    <row r="68" spans="1:11" ht="15.75" customHeight="1" thickBot="1" x14ac:dyDescent="0.25">
      <c r="A68" s="8">
        <v>1</v>
      </c>
      <c r="B68" s="1" t="s">
        <v>49</v>
      </c>
      <c r="C68" s="1" t="s">
        <v>49</v>
      </c>
      <c r="D68" s="1" t="s">
        <v>51</v>
      </c>
      <c r="E68" s="72" t="s">
        <v>52</v>
      </c>
      <c r="F68" s="2">
        <v>55602</v>
      </c>
      <c r="G68" s="6" t="s">
        <v>239</v>
      </c>
      <c r="H68" s="15">
        <v>5000</v>
      </c>
    </row>
    <row r="69" spans="1:11" ht="13.5" thickBot="1" x14ac:dyDescent="0.25">
      <c r="A69" s="629" t="s">
        <v>0</v>
      </c>
      <c r="B69" s="630"/>
      <c r="C69" s="630"/>
      <c r="D69" s="630"/>
      <c r="E69" s="630"/>
      <c r="F69" s="630"/>
      <c r="G69" s="631" t="s">
        <v>151</v>
      </c>
      <c r="H69" s="633" t="s">
        <v>152</v>
      </c>
      <c r="K69" s="86"/>
    </row>
    <row r="70" spans="1:11" s="22" customFormat="1" ht="183.75" customHeight="1" thickBot="1" x14ac:dyDescent="0.25">
      <c r="A70" s="330" t="s">
        <v>144</v>
      </c>
      <c r="B70" s="331" t="s">
        <v>145</v>
      </c>
      <c r="C70" s="331" t="s">
        <v>122</v>
      </c>
      <c r="D70" s="331" t="s">
        <v>150</v>
      </c>
      <c r="E70" s="332" t="s">
        <v>147</v>
      </c>
      <c r="F70" s="333" t="s">
        <v>148</v>
      </c>
      <c r="G70" s="632"/>
      <c r="H70" s="634"/>
      <c r="I70" s="199"/>
      <c r="K70" s="87"/>
    </row>
    <row r="71" spans="1:11" ht="15.75" customHeight="1" x14ac:dyDescent="0.2">
      <c r="A71" s="8">
        <v>1</v>
      </c>
      <c r="B71" s="1" t="s">
        <v>49</v>
      </c>
      <c r="C71" s="1" t="s">
        <v>49</v>
      </c>
      <c r="D71" s="1" t="s">
        <v>51</v>
      </c>
      <c r="E71" s="72" t="s">
        <v>52</v>
      </c>
      <c r="F71" s="2">
        <v>55603</v>
      </c>
      <c r="G71" s="6" t="s">
        <v>82</v>
      </c>
      <c r="H71" s="15">
        <v>100</v>
      </c>
    </row>
    <row r="72" spans="1:11" ht="15.75" customHeight="1" x14ac:dyDescent="0.2">
      <c r="A72" s="8">
        <v>1</v>
      </c>
      <c r="B72" s="1" t="s">
        <v>49</v>
      </c>
      <c r="C72" s="1" t="s">
        <v>49</v>
      </c>
      <c r="D72" s="1" t="s">
        <v>51</v>
      </c>
      <c r="E72" s="72" t="s">
        <v>52</v>
      </c>
      <c r="F72" s="2">
        <v>55703</v>
      </c>
      <c r="G72" s="6" t="s">
        <v>83</v>
      </c>
      <c r="H72" s="15">
        <v>100</v>
      </c>
    </row>
    <row r="73" spans="1:11" ht="15.75" customHeight="1" x14ac:dyDescent="0.2">
      <c r="A73" s="8">
        <v>1</v>
      </c>
      <c r="B73" s="1" t="s">
        <v>49</v>
      </c>
      <c r="C73" s="1" t="s">
        <v>49</v>
      </c>
      <c r="D73" s="1" t="s">
        <v>51</v>
      </c>
      <c r="E73" s="72" t="s">
        <v>52</v>
      </c>
      <c r="F73" s="2">
        <v>55799</v>
      </c>
      <c r="G73" s="6" t="s">
        <v>215</v>
      </c>
      <c r="H73" s="15"/>
    </row>
    <row r="74" spans="1:11" ht="34.5" customHeight="1" x14ac:dyDescent="0.2">
      <c r="A74" s="8">
        <v>1</v>
      </c>
      <c r="B74" s="1" t="s">
        <v>49</v>
      </c>
      <c r="C74" s="1" t="s">
        <v>49</v>
      </c>
      <c r="D74" s="1" t="s">
        <v>51</v>
      </c>
      <c r="E74" s="72" t="s">
        <v>52</v>
      </c>
      <c r="F74" s="2">
        <v>56201</v>
      </c>
      <c r="G74" s="432" t="s">
        <v>689</v>
      </c>
      <c r="H74" s="15">
        <v>8400</v>
      </c>
    </row>
    <row r="75" spans="1:11" ht="40.5" customHeight="1" x14ac:dyDescent="0.2">
      <c r="A75" s="8"/>
      <c r="B75" s="1"/>
      <c r="C75" s="1"/>
      <c r="D75" s="1"/>
      <c r="E75" s="72"/>
      <c r="F75" s="2">
        <v>56301</v>
      </c>
      <c r="G75" s="431" t="s">
        <v>690</v>
      </c>
      <c r="H75" s="15"/>
    </row>
    <row r="76" spans="1:11" ht="15.75" customHeight="1" x14ac:dyDescent="0.2">
      <c r="A76" s="8">
        <v>1</v>
      </c>
      <c r="B76" s="1" t="s">
        <v>49</v>
      </c>
      <c r="C76" s="1" t="s">
        <v>49</v>
      </c>
      <c r="D76" s="1" t="s">
        <v>51</v>
      </c>
      <c r="E76" s="72" t="s">
        <v>52</v>
      </c>
      <c r="F76" s="2">
        <v>56303</v>
      </c>
      <c r="G76" s="6" t="s">
        <v>240</v>
      </c>
      <c r="H76" s="15"/>
    </row>
    <row r="77" spans="1:11" ht="15.75" customHeight="1" x14ac:dyDescent="0.2">
      <c r="A77" s="8">
        <v>1</v>
      </c>
      <c r="B77" s="1" t="s">
        <v>49</v>
      </c>
      <c r="C77" s="1" t="s">
        <v>49</v>
      </c>
      <c r="D77" s="1" t="s">
        <v>51</v>
      </c>
      <c r="E77" s="72" t="s">
        <v>52</v>
      </c>
      <c r="F77" s="2">
        <v>56304</v>
      </c>
      <c r="G77" s="6" t="s">
        <v>208</v>
      </c>
      <c r="H77" s="15"/>
    </row>
    <row r="78" spans="1:11" ht="15.75" customHeight="1" x14ac:dyDescent="0.2">
      <c r="A78" s="8">
        <v>1</v>
      </c>
      <c r="B78" s="1" t="s">
        <v>49</v>
      </c>
      <c r="C78" s="1" t="s">
        <v>49</v>
      </c>
      <c r="D78" s="1" t="s">
        <v>51</v>
      </c>
      <c r="E78" s="72" t="s">
        <v>52</v>
      </c>
      <c r="F78" s="2">
        <v>61101</v>
      </c>
      <c r="G78" s="7" t="s">
        <v>241</v>
      </c>
      <c r="H78" s="17">
        <f>7575-2575</f>
        <v>5000</v>
      </c>
    </row>
    <row r="79" spans="1:11" ht="15.75" customHeight="1" x14ac:dyDescent="0.2">
      <c r="A79" s="8"/>
      <c r="B79" s="1"/>
      <c r="C79" s="1"/>
      <c r="D79" s="1"/>
      <c r="E79" s="72"/>
      <c r="F79" s="2">
        <v>61102</v>
      </c>
      <c r="G79" s="7" t="s">
        <v>625</v>
      </c>
      <c r="H79" s="17">
        <v>10000</v>
      </c>
    </row>
    <row r="80" spans="1:11" ht="15.75" customHeight="1" x14ac:dyDescent="0.2">
      <c r="A80" s="8">
        <v>1</v>
      </c>
      <c r="B80" s="1" t="s">
        <v>49</v>
      </c>
      <c r="C80" s="1" t="s">
        <v>49</v>
      </c>
      <c r="D80" s="1" t="s">
        <v>51</v>
      </c>
      <c r="E80" s="72" t="s">
        <v>52</v>
      </c>
      <c r="F80" s="2">
        <v>61104</v>
      </c>
      <c r="G80" s="7" t="s">
        <v>242</v>
      </c>
      <c r="H80" s="17">
        <f>15700-5700</f>
        <v>10000</v>
      </c>
    </row>
    <row r="81" spans="1:9" ht="15.75" customHeight="1" x14ac:dyDescent="0.2">
      <c r="A81" s="8">
        <v>1</v>
      </c>
      <c r="B81" s="1" t="s">
        <v>49</v>
      </c>
      <c r="C81" s="1" t="s">
        <v>49</v>
      </c>
      <c r="D81" s="1" t="s">
        <v>51</v>
      </c>
      <c r="E81" s="72" t="s">
        <v>52</v>
      </c>
      <c r="F81" s="2">
        <v>72101</v>
      </c>
      <c r="G81" s="7" t="s">
        <v>243</v>
      </c>
      <c r="H81" s="525">
        <v>371214.19</v>
      </c>
    </row>
    <row r="82" spans="1:9" ht="15.75" customHeight="1" thickBot="1" x14ac:dyDescent="0.25">
      <c r="A82" s="18"/>
      <c r="B82" s="16"/>
      <c r="C82" s="16"/>
      <c r="D82" s="16"/>
      <c r="E82" s="73"/>
      <c r="F82" s="3"/>
      <c r="G82" s="7"/>
      <c r="H82" s="17"/>
    </row>
    <row r="83" spans="1:9" ht="28.5" customHeight="1" thickBot="1" x14ac:dyDescent="0.6">
      <c r="A83" s="640"/>
      <c r="B83" s="641"/>
      <c r="C83" s="641"/>
      <c r="D83" s="641"/>
      <c r="E83" s="641"/>
      <c r="F83" s="642"/>
      <c r="G83" s="334" t="s">
        <v>233</v>
      </c>
      <c r="H83" s="335">
        <f>SUM(H11:H82)</f>
        <v>839915.89</v>
      </c>
    </row>
    <row r="87" spans="1:9" ht="20.25" x14ac:dyDescent="0.25">
      <c r="A87" s="560"/>
      <c r="B87" s="560"/>
      <c r="C87" s="560"/>
      <c r="D87" s="560"/>
      <c r="E87" s="560"/>
      <c r="F87" s="560"/>
      <c r="G87" s="560"/>
      <c r="H87" s="560"/>
      <c r="I87" s="236"/>
    </row>
    <row r="88" spans="1:9" ht="18" x14ac:dyDescent="0.2">
      <c r="A88" s="620" t="s">
        <v>372</v>
      </c>
      <c r="B88" s="620"/>
      <c r="C88" s="620"/>
      <c r="D88" s="620"/>
      <c r="E88" s="620"/>
      <c r="F88" s="620"/>
      <c r="G88" s="620"/>
      <c r="H88" s="620"/>
      <c r="I88" s="268"/>
    </row>
    <row r="89" spans="1:9" ht="15.75" x14ac:dyDescent="0.25">
      <c r="A89" s="624" t="s">
        <v>175</v>
      </c>
      <c r="B89" s="557"/>
      <c r="C89" s="557"/>
      <c r="D89" s="557"/>
      <c r="E89" s="557"/>
      <c r="F89" s="557"/>
      <c r="G89" s="557"/>
      <c r="H89" s="557"/>
    </row>
    <row r="90" spans="1:9" ht="15.75" x14ac:dyDescent="0.25">
      <c r="A90" s="624" t="s">
        <v>640</v>
      </c>
      <c r="B90" s="557"/>
      <c r="C90" s="557"/>
      <c r="D90" s="557"/>
      <c r="E90" s="557"/>
      <c r="F90" s="557"/>
      <c r="G90" s="557"/>
      <c r="H90" s="557"/>
    </row>
    <row r="91" spans="1:9" ht="15" x14ac:dyDescent="0.2">
      <c r="A91" s="635" t="s">
        <v>11</v>
      </c>
      <c r="B91" s="636"/>
      <c r="C91" s="636"/>
      <c r="D91" s="636"/>
      <c r="E91" s="636"/>
      <c r="F91" s="636"/>
      <c r="G91" s="636"/>
      <c r="H91" s="636"/>
    </row>
    <row r="92" spans="1:9" ht="18" x14ac:dyDescent="0.25">
      <c r="A92" s="637"/>
      <c r="B92" s="638"/>
      <c r="C92" s="638"/>
      <c r="D92" s="638"/>
      <c r="E92" s="638"/>
      <c r="F92" s="638"/>
      <c r="G92" s="638"/>
      <c r="H92" s="638"/>
    </row>
    <row r="93" spans="1:9" ht="15" x14ac:dyDescent="0.25">
      <c r="A93" s="639" t="s">
        <v>13</v>
      </c>
      <c r="B93" s="639"/>
      <c r="C93" s="639"/>
      <c r="D93" s="639"/>
      <c r="E93" s="639"/>
      <c r="F93" s="639"/>
      <c r="G93" s="639"/>
      <c r="H93" s="639"/>
    </row>
    <row r="94" spans="1:9" ht="15.75" thickBot="1" x14ac:dyDescent="0.3">
      <c r="A94" s="625" t="s">
        <v>56</v>
      </c>
      <c r="B94" s="625"/>
      <c r="C94" s="625"/>
      <c r="D94" s="625"/>
      <c r="E94" s="625"/>
      <c r="F94" s="625"/>
      <c r="G94" s="625"/>
      <c r="H94" s="625"/>
    </row>
    <row r="95" spans="1:9" ht="13.5" thickBot="1" x14ac:dyDescent="0.25">
      <c r="A95" s="629" t="s">
        <v>0</v>
      </c>
      <c r="B95" s="630"/>
      <c r="C95" s="630"/>
      <c r="D95" s="630"/>
      <c r="E95" s="630"/>
      <c r="F95" s="630"/>
      <c r="G95" s="631" t="s">
        <v>151</v>
      </c>
      <c r="H95" s="633" t="s">
        <v>152</v>
      </c>
    </row>
    <row r="96" spans="1:9" ht="170.25" thickBot="1" x14ac:dyDescent="0.25">
      <c r="A96" s="330" t="s">
        <v>144</v>
      </c>
      <c r="B96" s="331" t="s">
        <v>145</v>
      </c>
      <c r="C96" s="331" t="s">
        <v>122</v>
      </c>
      <c r="D96" s="331" t="s">
        <v>150</v>
      </c>
      <c r="E96" s="332" t="s">
        <v>147</v>
      </c>
      <c r="F96" s="333" t="s">
        <v>148</v>
      </c>
      <c r="G96" s="632"/>
      <c r="H96" s="634"/>
      <c r="I96" s="199"/>
    </row>
    <row r="97" spans="1:9" ht="15" x14ac:dyDescent="0.2">
      <c r="A97" s="9">
        <v>1</v>
      </c>
      <c r="B97" s="10" t="s">
        <v>49</v>
      </c>
      <c r="C97" s="10" t="s">
        <v>219</v>
      </c>
      <c r="D97" s="10" t="s">
        <v>51</v>
      </c>
      <c r="E97" s="71" t="s">
        <v>52</v>
      </c>
      <c r="F97" s="74" t="s">
        <v>34</v>
      </c>
      <c r="G97" s="12" t="s">
        <v>35</v>
      </c>
      <c r="H97" s="14">
        <f>9549.79*12</f>
        <v>114597.48000000001</v>
      </c>
      <c r="I97" s="235"/>
    </row>
    <row r="98" spans="1:9" ht="15" x14ac:dyDescent="0.2">
      <c r="A98" s="8">
        <v>1</v>
      </c>
      <c r="B98" s="1" t="s">
        <v>49</v>
      </c>
      <c r="C98" s="10" t="s">
        <v>219</v>
      </c>
      <c r="D98" s="1" t="s">
        <v>51</v>
      </c>
      <c r="E98" s="72" t="s">
        <v>52</v>
      </c>
      <c r="F98" s="2">
        <v>51103</v>
      </c>
      <c r="G98" s="6" t="s">
        <v>36</v>
      </c>
      <c r="H98" s="15">
        <v>9549.7900000000009</v>
      </c>
      <c r="I98" s="235"/>
    </row>
    <row r="99" spans="1:9" ht="15" x14ac:dyDescent="0.2">
      <c r="A99" s="8">
        <v>1</v>
      </c>
      <c r="B99" s="1" t="s">
        <v>49</v>
      </c>
      <c r="C99" s="10" t="s">
        <v>219</v>
      </c>
      <c r="D99" s="1" t="s">
        <v>51</v>
      </c>
      <c r="E99" s="71" t="s">
        <v>52</v>
      </c>
      <c r="F99" s="2">
        <v>51105</v>
      </c>
      <c r="G99" s="6" t="s">
        <v>71</v>
      </c>
      <c r="H99" s="13"/>
      <c r="I99" s="235"/>
    </row>
    <row r="100" spans="1:9" ht="15" x14ac:dyDescent="0.2">
      <c r="A100" s="8">
        <v>1</v>
      </c>
      <c r="B100" s="1" t="s">
        <v>49</v>
      </c>
      <c r="C100" s="10" t="s">
        <v>219</v>
      </c>
      <c r="D100" s="1" t="s">
        <v>51</v>
      </c>
      <c r="E100" s="71" t="s">
        <v>52</v>
      </c>
      <c r="F100" s="2">
        <v>51201</v>
      </c>
      <c r="G100" s="6" t="s">
        <v>35</v>
      </c>
      <c r="H100" s="13"/>
      <c r="I100" s="235"/>
    </row>
    <row r="101" spans="1:9" ht="15" x14ac:dyDescent="0.2">
      <c r="A101" s="8">
        <v>1</v>
      </c>
      <c r="B101" s="1" t="s">
        <v>49</v>
      </c>
      <c r="C101" s="10" t="s">
        <v>219</v>
      </c>
      <c r="D101" s="1" t="s">
        <v>51</v>
      </c>
      <c r="E101" s="71" t="s">
        <v>52</v>
      </c>
      <c r="F101" s="2">
        <v>51202</v>
      </c>
      <c r="G101" s="6" t="s">
        <v>155</v>
      </c>
      <c r="H101" s="13"/>
      <c r="I101" s="235"/>
    </row>
    <row r="102" spans="1:9" ht="15" x14ac:dyDescent="0.2">
      <c r="A102" s="8">
        <v>1</v>
      </c>
      <c r="B102" s="1" t="s">
        <v>49</v>
      </c>
      <c r="C102" s="10" t="s">
        <v>219</v>
      </c>
      <c r="D102" s="1" t="s">
        <v>51</v>
      </c>
      <c r="E102" s="72" t="s">
        <v>52</v>
      </c>
      <c r="F102" s="2">
        <v>51401</v>
      </c>
      <c r="G102" s="6" t="s">
        <v>538</v>
      </c>
      <c r="H102" s="15"/>
      <c r="I102" s="235"/>
    </row>
    <row r="103" spans="1:9" ht="15" x14ac:dyDescent="0.2">
      <c r="A103" s="8">
        <v>1</v>
      </c>
      <c r="B103" s="1" t="s">
        <v>49</v>
      </c>
      <c r="C103" s="10" t="s">
        <v>219</v>
      </c>
      <c r="D103" s="1" t="s">
        <v>51</v>
      </c>
      <c r="E103" s="72" t="s">
        <v>52</v>
      </c>
      <c r="F103" s="2">
        <v>51501</v>
      </c>
      <c r="G103" s="6" t="s">
        <v>539</v>
      </c>
      <c r="H103" s="15"/>
      <c r="I103" s="235"/>
    </row>
    <row r="104" spans="1:9" ht="15" x14ac:dyDescent="0.2">
      <c r="A104" s="8"/>
      <c r="B104" s="1"/>
      <c r="C104" s="10" t="s">
        <v>219</v>
      </c>
      <c r="D104" s="1"/>
      <c r="E104" s="72"/>
      <c r="F104" s="2">
        <v>51107</v>
      </c>
      <c r="G104" s="6" t="s">
        <v>537</v>
      </c>
      <c r="H104" s="15"/>
    </row>
    <row r="105" spans="1:9" ht="15" x14ac:dyDescent="0.2">
      <c r="A105" s="8">
        <v>1</v>
      </c>
      <c r="B105" s="1" t="s">
        <v>49</v>
      </c>
      <c r="C105" s="10" t="s">
        <v>219</v>
      </c>
      <c r="D105" s="1" t="s">
        <v>51</v>
      </c>
      <c r="E105" s="72" t="s">
        <v>52</v>
      </c>
      <c r="F105" s="2">
        <v>51999</v>
      </c>
      <c r="G105" s="6" t="s">
        <v>172</v>
      </c>
      <c r="H105" s="15"/>
    </row>
    <row r="106" spans="1:9" ht="15" x14ac:dyDescent="0.2">
      <c r="A106" s="8">
        <v>1</v>
      </c>
      <c r="B106" s="1" t="s">
        <v>49</v>
      </c>
      <c r="C106" s="10" t="s">
        <v>219</v>
      </c>
      <c r="D106" s="1" t="s">
        <v>51</v>
      </c>
      <c r="E106" s="72" t="s">
        <v>52</v>
      </c>
      <c r="F106" s="2">
        <v>54101</v>
      </c>
      <c r="G106" s="6" t="s">
        <v>38</v>
      </c>
      <c r="H106" s="15"/>
    </row>
    <row r="107" spans="1:9" ht="15" x14ac:dyDescent="0.2">
      <c r="A107" s="8">
        <v>1</v>
      </c>
      <c r="B107" s="1" t="s">
        <v>49</v>
      </c>
      <c r="C107" s="10" t="s">
        <v>219</v>
      </c>
      <c r="D107" s="1" t="s">
        <v>51</v>
      </c>
      <c r="E107" s="72" t="s">
        <v>52</v>
      </c>
      <c r="F107" s="2">
        <v>54104</v>
      </c>
      <c r="G107" s="6" t="s">
        <v>156</v>
      </c>
      <c r="H107" s="15"/>
    </row>
    <row r="108" spans="1:9" ht="15" x14ac:dyDescent="0.2">
      <c r="A108" s="8">
        <v>1</v>
      </c>
      <c r="B108" s="1" t="s">
        <v>49</v>
      </c>
      <c r="C108" s="10" t="s">
        <v>219</v>
      </c>
      <c r="D108" s="1" t="s">
        <v>51</v>
      </c>
      <c r="E108" s="72" t="s">
        <v>52</v>
      </c>
      <c r="F108" s="2">
        <v>54105</v>
      </c>
      <c r="G108" s="6" t="s">
        <v>39</v>
      </c>
      <c r="H108" s="15"/>
    </row>
    <row r="109" spans="1:9" ht="15" x14ac:dyDescent="0.2">
      <c r="A109" s="8"/>
      <c r="B109" s="1"/>
      <c r="C109" s="10" t="s">
        <v>219</v>
      </c>
      <c r="D109" s="1"/>
      <c r="E109" s="72"/>
      <c r="F109" s="2">
        <v>54106</v>
      </c>
      <c r="G109" s="6" t="s">
        <v>622</v>
      </c>
      <c r="H109" s="15"/>
    </row>
    <row r="110" spans="1:9" ht="15" x14ac:dyDescent="0.2">
      <c r="A110" s="8">
        <v>1</v>
      </c>
      <c r="B110" s="1" t="s">
        <v>49</v>
      </c>
      <c r="C110" s="10" t="s">
        <v>219</v>
      </c>
      <c r="D110" s="1" t="s">
        <v>51</v>
      </c>
      <c r="E110" s="72" t="s">
        <v>52</v>
      </c>
      <c r="F110" s="2">
        <v>54107</v>
      </c>
      <c r="G110" s="6" t="s">
        <v>158</v>
      </c>
      <c r="H110" s="15"/>
    </row>
    <row r="111" spans="1:9" ht="15" x14ac:dyDescent="0.2">
      <c r="A111" s="8">
        <v>1</v>
      </c>
      <c r="B111" s="1" t="s">
        <v>49</v>
      </c>
      <c r="C111" s="10" t="s">
        <v>219</v>
      </c>
      <c r="D111" s="1" t="s">
        <v>51</v>
      </c>
      <c r="E111" s="72" t="s">
        <v>52</v>
      </c>
      <c r="F111" s="2">
        <v>54108</v>
      </c>
      <c r="G111" s="6" t="s">
        <v>223</v>
      </c>
      <c r="H111" s="15"/>
    </row>
    <row r="112" spans="1:9" ht="15" x14ac:dyDescent="0.2">
      <c r="A112" s="8">
        <v>1</v>
      </c>
      <c r="B112" s="1" t="s">
        <v>49</v>
      </c>
      <c r="C112" s="10" t="s">
        <v>219</v>
      </c>
      <c r="D112" s="1" t="s">
        <v>51</v>
      </c>
      <c r="E112" s="72" t="s">
        <v>52</v>
      </c>
      <c r="F112" s="2">
        <v>54109</v>
      </c>
      <c r="G112" s="6" t="s">
        <v>159</v>
      </c>
      <c r="H112" s="15"/>
    </row>
    <row r="113" spans="1:9" ht="15" x14ac:dyDescent="0.2">
      <c r="A113" s="8">
        <v>1</v>
      </c>
      <c r="B113" s="1" t="s">
        <v>49</v>
      </c>
      <c r="C113" s="10" t="s">
        <v>219</v>
      </c>
      <c r="D113" s="1" t="s">
        <v>51</v>
      </c>
      <c r="E113" s="72" t="s">
        <v>52</v>
      </c>
      <c r="F113" s="2">
        <v>54110</v>
      </c>
      <c r="G113" s="6" t="s">
        <v>40</v>
      </c>
      <c r="H113" s="15"/>
    </row>
    <row r="114" spans="1:9" ht="15" x14ac:dyDescent="0.2">
      <c r="A114" s="8">
        <v>1</v>
      </c>
      <c r="B114" s="1" t="s">
        <v>49</v>
      </c>
      <c r="C114" s="10" t="s">
        <v>219</v>
      </c>
      <c r="D114" s="1" t="s">
        <v>51</v>
      </c>
      <c r="E114" s="72" t="s">
        <v>52</v>
      </c>
      <c r="F114" s="2">
        <v>54111</v>
      </c>
      <c r="G114" s="6" t="s">
        <v>47</v>
      </c>
      <c r="H114" s="15"/>
    </row>
    <row r="115" spans="1:9" ht="15.75" thickBot="1" x14ac:dyDescent="0.25">
      <c r="A115" s="8">
        <v>1</v>
      </c>
      <c r="B115" s="1" t="s">
        <v>49</v>
      </c>
      <c r="C115" s="10" t="s">
        <v>219</v>
      </c>
      <c r="D115" s="1" t="s">
        <v>51</v>
      </c>
      <c r="E115" s="72" t="s">
        <v>52</v>
      </c>
      <c r="F115" s="2">
        <v>54112</v>
      </c>
      <c r="G115" s="6" t="s">
        <v>46</v>
      </c>
      <c r="H115" s="15"/>
    </row>
    <row r="116" spans="1:9" ht="13.5" thickBot="1" x14ac:dyDescent="0.25">
      <c r="A116" s="629" t="s">
        <v>0</v>
      </c>
      <c r="B116" s="630"/>
      <c r="C116" s="630"/>
      <c r="D116" s="630"/>
      <c r="E116" s="630"/>
      <c r="F116" s="630"/>
      <c r="G116" s="631" t="s">
        <v>151</v>
      </c>
      <c r="H116" s="633" t="s">
        <v>152</v>
      </c>
    </row>
    <row r="117" spans="1:9" ht="170.25" thickBot="1" x14ac:dyDescent="0.25">
      <c r="A117" s="330" t="s">
        <v>144</v>
      </c>
      <c r="B117" s="331" t="s">
        <v>145</v>
      </c>
      <c r="C117" s="331" t="s">
        <v>122</v>
      </c>
      <c r="D117" s="331" t="s">
        <v>150</v>
      </c>
      <c r="E117" s="332" t="s">
        <v>147</v>
      </c>
      <c r="F117" s="333" t="s">
        <v>148</v>
      </c>
      <c r="G117" s="632"/>
      <c r="H117" s="634"/>
      <c r="I117" s="199"/>
    </row>
    <row r="118" spans="1:9" ht="15" x14ac:dyDescent="0.2">
      <c r="A118" s="8">
        <v>1</v>
      </c>
      <c r="B118" s="1" t="s">
        <v>49</v>
      </c>
      <c r="C118" s="1" t="s">
        <v>219</v>
      </c>
      <c r="D118" s="1" t="s">
        <v>51</v>
      </c>
      <c r="E118" s="72" t="s">
        <v>52</v>
      </c>
      <c r="F118" s="2">
        <v>54114</v>
      </c>
      <c r="G118" s="6" t="s">
        <v>41</v>
      </c>
      <c r="H118" s="15"/>
    </row>
    <row r="119" spans="1:9" ht="15" x14ac:dyDescent="0.2">
      <c r="A119" s="8">
        <v>1</v>
      </c>
      <c r="B119" s="1" t="s">
        <v>49</v>
      </c>
      <c r="C119" s="1" t="s">
        <v>219</v>
      </c>
      <c r="D119" s="1" t="s">
        <v>51</v>
      </c>
      <c r="E119" s="72" t="s">
        <v>52</v>
      </c>
      <c r="F119" s="2">
        <v>54115</v>
      </c>
      <c r="G119" s="6" t="s">
        <v>76</v>
      </c>
      <c r="H119" s="15"/>
    </row>
    <row r="120" spans="1:9" ht="15" x14ac:dyDescent="0.2">
      <c r="A120" s="8">
        <v>1</v>
      </c>
      <c r="B120" s="1" t="s">
        <v>49</v>
      </c>
      <c r="C120" s="1" t="s">
        <v>219</v>
      </c>
      <c r="D120" s="1" t="s">
        <v>51</v>
      </c>
      <c r="E120" s="72" t="s">
        <v>52</v>
      </c>
      <c r="F120" s="2">
        <v>54116</v>
      </c>
      <c r="G120" s="6" t="s">
        <v>234</v>
      </c>
      <c r="H120" s="15"/>
    </row>
    <row r="121" spans="1:9" ht="15" x14ac:dyDescent="0.2">
      <c r="A121" s="8">
        <v>1</v>
      </c>
      <c r="B121" s="1" t="s">
        <v>49</v>
      </c>
      <c r="C121" s="1" t="s">
        <v>219</v>
      </c>
      <c r="D121" s="1" t="s">
        <v>51</v>
      </c>
      <c r="E121" s="72" t="s">
        <v>52</v>
      </c>
      <c r="F121" s="2">
        <v>54118</v>
      </c>
      <c r="G121" s="6" t="s">
        <v>209</v>
      </c>
      <c r="H121" s="15"/>
    </row>
    <row r="122" spans="1:9" ht="15" x14ac:dyDescent="0.2">
      <c r="A122" s="8">
        <v>1</v>
      </c>
      <c r="B122" s="1" t="s">
        <v>49</v>
      </c>
      <c r="C122" s="1" t="s">
        <v>219</v>
      </c>
      <c r="D122" s="1" t="s">
        <v>51</v>
      </c>
      <c r="E122" s="72" t="s">
        <v>52</v>
      </c>
      <c r="F122" s="2">
        <v>54119</v>
      </c>
      <c r="G122" s="6" t="s">
        <v>89</v>
      </c>
      <c r="H122" s="15"/>
    </row>
    <row r="123" spans="1:9" ht="15" x14ac:dyDescent="0.2">
      <c r="A123" s="8">
        <v>1</v>
      </c>
      <c r="B123" s="1" t="s">
        <v>49</v>
      </c>
      <c r="C123" s="1" t="s">
        <v>219</v>
      </c>
      <c r="D123" s="1" t="s">
        <v>51</v>
      </c>
      <c r="E123" s="72" t="s">
        <v>52</v>
      </c>
      <c r="F123" s="2">
        <v>54121</v>
      </c>
      <c r="G123" s="6" t="s">
        <v>78</v>
      </c>
      <c r="H123" s="15"/>
    </row>
    <row r="124" spans="1:9" ht="15" x14ac:dyDescent="0.2">
      <c r="A124" s="8">
        <v>1</v>
      </c>
      <c r="B124" s="1" t="s">
        <v>49</v>
      </c>
      <c r="C124" s="1" t="s">
        <v>219</v>
      </c>
      <c r="D124" s="1" t="s">
        <v>51</v>
      </c>
      <c r="E124" s="72" t="s">
        <v>52</v>
      </c>
      <c r="F124" s="2">
        <v>54199</v>
      </c>
      <c r="G124" s="6" t="s">
        <v>214</v>
      </c>
      <c r="H124" s="15"/>
    </row>
    <row r="125" spans="1:9" ht="15" x14ac:dyDescent="0.2">
      <c r="A125" s="8">
        <v>1</v>
      </c>
      <c r="B125" s="1" t="s">
        <v>49</v>
      </c>
      <c r="C125" s="1" t="s">
        <v>219</v>
      </c>
      <c r="D125" s="1" t="s">
        <v>51</v>
      </c>
      <c r="E125" s="72" t="s">
        <v>52</v>
      </c>
      <c r="F125" s="2">
        <v>54201</v>
      </c>
      <c r="G125" s="6" t="s">
        <v>42</v>
      </c>
      <c r="H125" s="15"/>
    </row>
    <row r="126" spans="1:9" ht="15" x14ac:dyDescent="0.2">
      <c r="A126" s="8">
        <v>1</v>
      </c>
      <c r="B126" s="1" t="s">
        <v>49</v>
      </c>
      <c r="C126" s="1" t="s">
        <v>219</v>
      </c>
      <c r="D126" s="1" t="s">
        <v>51</v>
      </c>
      <c r="E126" s="72" t="s">
        <v>52</v>
      </c>
      <c r="F126" s="2">
        <v>54202</v>
      </c>
      <c r="G126" s="6" t="s">
        <v>43</v>
      </c>
      <c r="H126" s="15"/>
    </row>
    <row r="127" spans="1:9" ht="15" x14ac:dyDescent="0.2">
      <c r="A127" s="8">
        <v>1</v>
      </c>
      <c r="B127" s="1" t="s">
        <v>49</v>
      </c>
      <c r="C127" s="1" t="s">
        <v>219</v>
      </c>
      <c r="D127" s="1" t="s">
        <v>51</v>
      </c>
      <c r="E127" s="72" t="s">
        <v>52</v>
      </c>
      <c r="F127" s="2">
        <v>54203</v>
      </c>
      <c r="G127" s="6" t="s">
        <v>44</v>
      </c>
      <c r="H127" s="15"/>
    </row>
    <row r="128" spans="1:9" ht="15" x14ac:dyDescent="0.2">
      <c r="A128" s="8">
        <v>1</v>
      </c>
      <c r="B128" s="1" t="s">
        <v>49</v>
      </c>
      <c r="C128" s="1" t="s">
        <v>219</v>
      </c>
      <c r="D128" s="1" t="s">
        <v>51</v>
      </c>
      <c r="E128" s="72" t="s">
        <v>52</v>
      </c>
      <c r="F128" s="2">
        <v>54204</v>
      </c>
      <c r="G128" s="6" t="s">
        <v>235</v>
      </c>
      <c r="H128" s="15"/>
    </row>
    <row r="129" spans="1:8" ht="15" x14ac:dyDescent="0.2">
      <c r="A129" s="8">
        <v>1</v>
      </c>
      <c r="B129" s="1" t="s">
        <v>49</v>
      </c>
      <c r="C129" s="1" t="s">
        <v>219</v>
      </c>
      <c r="D129" s="1" t="s">
        <v>51</v>
      </c>
      <c r="E129" s="72" t="s">
        <v>52</v>
      </c>
      <c r="F129" s="2">
        <v>54205</v>
      </c>
      <c r="G129" s="6" t="s">
        <v>23</v>
      </c>
      <c r="H129" s="15"/>
    </row>
    <row r="130" spans="1:8" ht="15" x14ac:dyDescent="0.2">
      <c r="A130" s="8">
        <v>1</v>
      </c>
      <c r="B130" s="1" t="s">
        <v>49</v>
      </c>
      <c r="C130" s="1" t="s">
        <v>219</v>
      </c>
      <c r="D130" s="1" t="s">
        <v>51</v>
      </c>
      <c r="E130" s="72" t="s">
        <v>52</v>
      </c>
      <c r="F130" s="2">
        <v>54301</v>
      </c>
      <c r="G130" s="6" t="s">
        <v>212</v>
      </c>
      <c r="H130" s="15"/>
    </row>
    <row r="131" spans="1:8" ht="15" x14ac:dyDescent="0.2">
      <c r="A131" s="8">
        <v>1</v>
      </c>
      <c r="B131" s="1" t="s">
        <v>49</v>
      </c>
      <c r="C131" s="1" t="s">
        <v>219</v>
      </c>
      <c r="D131" s="1" t="s">
        <v>51</v>
      </c>
      <c r="E131" s="72" t="s">
        <v>52</v>
      </c>
      <c r="F131" s="2">
        <v>54302</v>
      </c>
      <c r="G131" s="6" t="s">
        <v>211</v>
      </c>
      <c r="H131" s="15"/>
    </row>
    <row r="132" spans="1:8" ht="15" x14ac:dyDescent="0.2">
      <c r="A132" s="8">
        <v>1</v>
      </c>
      <c r="B132" s="1" t="s">
        <v>49</v>
      </c>
      <c r="C132" s="1" t="s">
        <v>219</v>
      </c>
      <c r="D132" s="1" t="s">
        <v>51</v>
      </c>
      <c r="E132" s="72" t="s">
        <v>52</v>
      </c>
      <c r="F132" s="2">
        <v>54303</v>
      </c>
      <c r="G132" s="6" t="s">
        <v>210</v>
      </c>
      <c r="H132" s="15"/>
    </row>
    <row r="133" spans="1:8" ht="15" x14ac:dyDescent="0.2">
      <c r="A133" s="8">
        <v>1</v>
      </c>
      <c r="B133" s="1" t="s">
        <v>49</v>
      </c>
      <c r="C133" s="1" t="s">
        <v>219</v>
      </c>
      <c r="D133" s="1" t="s">
        <v>51</v>
      </c>
      <c r="E133" s="72" t="s">
        <v>52</v>
      </c>
      <c r="F133" s="2">
        <v>54304</v>
      </c>
      <c r="G133" s="6" t="s">
        <v>85</v>
      </c>
      <c r="H133" s="15"/>
    </row>
    <row r="134" spans="1:8" ht="15" x14ac:dyDescent="0.2">
      <c r="A134" s="8">
        <v>1</v>
      </c>
      <c r="B134" s="1" t="s">
        <v>49</v>
      </c>
      <c r="C134" s="1" t="s">
        <v>219</v>
      </c>
      <c r="D134" s="1" t="s">
        <v>51</v>
      </c>
      <c r="E134" s="72" t="s">
        <v>52</v>
      </c>
      <c r="F134" s="2">
        <v>54305</v>
      </c>
      <c r="G134" s="6" t="s">
        <v>73</v>
      </c>
      <c r="H134" s="15"/>
    </row>
    <row r="135" spans="1:8" ht="15" x14ac:dyDescent="0.2">
      <c r="A135" s="8">
        <v>1</v>
      </c>
      <c r="B135" s="1" t="s">
        <v>49</v>
      </c>
      <c r="C135" s="1" t="s">
        <v>219</v>
      </c>
      <c r="D135" s="1" t="s">
        <v>51</v>
      </c>
      <c r="E135" s="72" t="s">
        <v>52</v>
      </c>
      <c r="F135" s="2">
        <v>54399</v>
      </c>
      <c r="G135" s="6" t="s">
        <v>360</v>
      </c>
      <c r="H135" s="15"/>
    </row>
    <row r="136" spans="1:8" ht="15" x14ac:dyDescent="0.2">
      <c r="A136" s="8">
        <v>1</v>
      </c>
      <c r="B136" s="1" t="s">
        <v>49</v>
      </c>
      <c r="C136" s="1" t="s">
        <v>219</v>
      </c>
      <c r="D136" s="1" t="s">
        <v>51</v>
      </c>
      <c r="E136" s="72" t="s">
        <v>52</v>
      </c>
      <c r="F136" s="2">
        <v>54310</v>
      </c>
      <c r="G136" s="6" t="s">
        <v>167</v>
      </c>
      <c r="H136" s="15"/>
    </row>
    <row r="137" spans="1:8" ht="15" x14ac:dyDescent="0.2">
      <c r="A137" s="8">
        <v>1</v>
      </c>
      <c r="B137" s="1" t="s">
        <v>49</v>
      </c>
      <c r="C137" s="1" t="s">
        <v>219</v>
      </c>
      <c r="D137" s="1" t="s">
        <v>51</v>
      </c>
      <c r="E137" s="72" t="s">
        <v>52</v>
      </c>
      <c r="F137" s="2">
        <v>54313</v>
      </c>
      <c r="G137" s="6" t="s">
        <v>236</v>
      </c>
      <c r="H137" s="15"/>
    </row>
    <row r="138" spans="1:8" ht="15" x14ac:dyDescent="0.2">
      <c r="A138" s="8">
        <v>1</v>
      </c>
      <c r="B138" s="1" t="s">
        <v>49</v>
      </c>
      <c r="C138" s="1" t="s">
        <v>219</v>
      </c>
      <c r="D138" s="1" t="s">
        <v>51</v>
      </c>
      <c r="E138" s="72" t="s">
        <v>52</v>
      </c>
      <c r="F138" s="2">
        <v>54314</v>
      </c>
      <c r="G138" s="6" t="s">
        <v>79</v>
      </c>
      <c r="H138" s="15"/>
    </row>
    <row r="139" spans="1:8" ht="15" x14ac:dyDescent="0.2">
      <c r="A139" s="8">
        <v>1</v>
      </c>
      <c r="B139" s="1" t="s">
        <v>49</v>
      </c>
      <c r="C139" s="1" t="s">
        <v>219</v>
      </c>
      <c r="D139" s="1" t="s">
        <v>51</v>
      </c>
      <c r="E139" s="72" t="s">
        <v>52</v>
      </c>
      <c r="F139" s="2">
        <v>54401</v>
      </c>
      <c r="G139" s="6" t="s">
        <v>213</v>
      </c>
      <c r="H139" s="15"/>
    </row>
    <row r="140" spans="1:8" ht="15" x14ac:dyDescent="0.2">
      <c r="A140" s="8">
        <v>1</v>
      </c>
      <c r="B140" s="1" t="s">
        <v>49</v>
      </c>
      <c r="C140" s="1" t="s">
        <v>219</v>
      </c>
      <c r="D140" s="1" t="s">
        <v>51</v>
      </c>
      <c r="E140" s="72" t="s">
        <v>52</v>
      </c>
      <c r="F140" s="2">
        <v>54403</v>
      </c>
      <c r="G140" s="6" t="s">
        <v>207</v>
      </c>
      <c r="H140" s="15"/>
    </row>
    <row r="141" spans="1:8" ht="15" x14ac:dyDescent="0.2">
      <c r="A141" s="8">
        <v>1</v>
      </c>
      <c r="B141" s="1" t="s">
        <v>49</v>
      </c>
      <c r="C141" s="1" t="s">
        <v>219</v>
      </c>
      <c r="D141" s="1" t="s">
        <v>51</v>
      </c>
      <c r="E141" s="72" t="s">
        <v>52</v>
      </c>
      <c r="F141" s="2">
        <v>54503</v>
      </c>
      <c r="G141" s="6" t="s">
        <v>75</v>
      </c>
      <c r="H141" s="15"/>
    </row>
    <row r="142" spans="1:8" ht="15" x14ac:dyDescent="0.2">
      <c r="A142" s="8">
        <v>1</v>
      </c>
      <c r="B142" s="1" t="s">
        <v>49</v>
      </c>
      <c r="C142" s="1" t="s">
        <v>219</v>
      </c>
      <c r="D142" s="1" t="s">
        <v>51</v>
      </c>
      <c r="E142" s="72" t="s">
        <v>52</v>
      </c>
      <c r="F142" s="2">
        <v>54504</v>
      </c>
      <c r="G142" s="6" t="s">
        <v>80</v>
      </c>
      <c r="H142" s="15"/>
    </row>
    <row r="143" spans="1:8" ht="15" x14ac:dyDescent="0.2">
      <c r="A143" s="8">
        <v>1</v>
      </c>
      <c r="B143" s="1" t="s">
        <v>49</v>
      </c>
      <c r="C143" s="1" t="s">
        <v>219</v>
      </c>
      <c r="D143" s="1" t="s">
        <v>51</v>
      </c>
      <c r="E143" s="72" t="s">
        <v>52</v>
      </c>
      <c r="F143" s="2">
        <v>54507</v>
      </c>
      <c r="G143" s="6" t="s">
        <v>237</v>
      </c>
      <c r="H143" s="15"/>
    </row>
    <row r="144" spans="1:8" ht="15" x14ac:dyDescent="0.2">
      <c r="A144" s="8">
        <v>1</v>
      </c>
      <c r="B144" s="1" t="s">
        <v>49</v>
      </c>
      <c r="C144" s="1" t="s">
        <v>219</v>
      </c>
      <c r="D144" s="1" t="s">
        <v>51</v>
      </c>
      <c r="E144" s="72" t="s">
        <v>52</v>
      </c>
      <c r="F144" s="2">
        <v>54508</v>
      </c>
      <c r="G144" s="6" t="s">
        <v>184</v>
      </c>
      <c r="H144" s="15"/>
    </row>
    <row r="145" spans="1:9" ht="15.75" thickBot="1" x14ac:dyDescent="0.25">
      <c r="A145" s="8">
        <v>1</v>
      </c>
      <c r="B145" s="1" t="s">
        <v>49</v>
      </c>
      <c r="C145" s="1" t="s">
        <v>219</v>
      </c>
      <c r="D145" s="1" t="s">
        <v>51</v>
      </c>
      <c r="E145" s="72" t="s">
        <v>52</v>
      </c>
      <c r="F145" s="2">
        <v>54599</v>
      </c>
      <c r="G145" s="6" t="s">
        <v>238</v>
      </c>
      <c r="H145" s="15"/>
    </row>
    <row r="146" spans="1:9" ht="13.5" thickBot="1" x14ac:dyDescent="0.25">
      <c r="A146" s="629" t="s">
        <v>0</v>
      </c>
      <c r="B146" s="630"/>
      <c r="C146" s="630"/>
      <c r="D146" s="630"/>
      <c r="E146" s="630"/>
      <c r="F146" s="630"/>
      <c r="G146" s="631" t="s">
        <v>151</v>
      </c>
      <c r="H146" s="633" t="s">
        <v>152</v>
      </c>
    </row>
    <row r="147" spans="1:9" ht="170.25" thickBot="1" x14ac:dyDescent="0.25">
      <c r="A147" s="330" t="s">
        <v>144</v>
      </c>
      <c r="B147" s="331" t="s">
        <v>145</v>
      </c>
      <c r="C147" s="331" t="s">
        <v>122</v>
      </c>
      <c r="D147" s="331" t="s">
        <v>150</v>
      </c>
      <c r="E147" s="332" t="s">
        <v>147</v>
      </c>
      <c r="F147" s="333" t="s">
        <v>148</v>
      </c>
      <c r="G147" s="632"/>
      <c r="H147" s="634"/>
      <c r="I147" s="199"/>
    </row>
    <row r="148" spans="1:9" ht="15" x14ac:dyDescent="0.2">
      <c r="A148" s="8">
        <v>1</v>
      </c>
      <c r="B148" s="1" t="s">
        <v>49</v>
      </c>
      <c r="C148" s="1" t="s">
        <v>219</v>
      </c>
      <c r="D148" s="1" t="s">
        <v>51</v>
      </c>
      <c r="E148" s="72" t="s">
        <v>52</v>
      </c>
      <c r="F148" s="2">
        <v>55508</v>
      </c>
      <c r="G148" s="6" t="s">
        <v>81</v>
      </c>
      <c r="H148" s="15"/>
    </row>
    <row r="149" spans="1:9" ht="15" x14ac:dyDescent="0.2">
      <c r="A149" s="8">
        <v>1</v>
      </c>
      <c r="B149" s="1" t="s">
        <v>49</v>
      </c>
      <c r="C149" s="1" t="s">
        <v>219</v>
      </c>
      <c r="D149" s="1" t="s">
        <v>51</v>
      </c>
      <c r="E149" s="72" t="s">
        <v>52</v>
      </c>
      <c r="F149" s="2">
        <v>55601</v>
      </c>
      <c r="G149" s="6" t="s">
        <v>93</v>
      </c>
      <c r="H149" s="15"/>
    </row>
    <row r="150" spans="1:9" ht="15" x14ac:dyDescent="0.2">
      <c r="A150" s="8">
        <v>1</v>
      </c>
      <c r="B150" s="1" t="s">
        <v>49</v>
      </c>
      <c r="C150" s="1" t="s">
        <v>219</v>
      </c>
      <c r="D150" s="1" t="s">
        <v>51</v>
      </c>
      <c r="E150" s="72" t="s">
        <v>52</v>
      </c>
      <c r="F150" s="2">
        <v>55602</v>
      </c>
      <c r="G150" s="6" t="s">
        <v>239</v>
      </c>
      <c r="H150" s="15"/>
    </row>
    <row r="151" spans="1:9" ht="15" x14ac:dyDescent="0.2">
      <c r="A151" s="8">
        <v>1</v>
      </c>
      <c r="B151" s="1" t="s">
        <v>49</v>
      </c>
      <c r="C151" s="1" t="s">
        <v>219</v>
      </c>
      <c r="D151" s="1" t="s">
        <v>51</v>
      </c>
      <c r="E151" s="72" t="s">
        <v>52</v>
      </c>
      <c r="F151" s="2">
        <v>55603</v>
      </c>
      <c r="G151" s="6" t="s">
        <v>82</v>
      </c>
      <c r="H151" s="15"/>
    </row>
    <row r="152" spans="1:9" ht="15" x14ac:dyDescent="0.2">
      <c r="A152" s="8">
        <v>1</v>
      </c>
      <c r="B152" s="1" t="s">
        <v>49</v>
      </c>
      <c r="C152" s="1" t="s">
        <v>219</v>
      </c>
      <c r="D152" s="1" t="s">
        <v>51</v>
      </c>
      <c r="E152" s="72" t="s">
        <v>52</v>
      </c>
      <c r="F152" s="2">
        <v>55703</v>
      </c>
      <c r="G152" s="6" t="s">
        <v>83</v>
      </c>
      <c r="H152" s="15"/>
    </row>
    <row r="153" spans="1:9" ht="15" x14ac:dyDescent="0.2">
      <c r="A153" s="8">
        <v>1</v>
      </c>
      <c r="B153" s="1" t="s">
        <v>49</v>
      </c>
      <c r="C153" s="1" t="s">
        <v>219</v>
      </c>
      <c r="D153" s="1" t="s">
        <v>51</v>
      </c>
      <c r="E153" s="72" t="s">
        <v>52</v>
      </c>
      <c r="F153" s="2">
        <v>55799</v>
      </c>
      <c r="G153" s="6" t="s">
        <v>215</v>
      </c>
      <c r="H153" s="15"/>
    </row>
    <row r="154" spans="1:9" ht="15" x14ac:dyDescent="0.2">
      <c r="A154" s="8">
        <v>1</v>
      </c>
      <c r="B154" s="1" t="s">
        <v>49</v>
      </c>
      <c r="C154" s="1" t="s">
        <v>219</v>
      </c>
      <c r="D154" s="1" t="s">
        <v>51</v>
      </c>
      <c r="E154" s="72" t="s">
        <v>52</v>
      </c>
      <c r="F154" s="2">
        <v>56201</v>
      </c>
      <c r="G154" s="6" t="s">
        <v>84</v>
      </c>
      <c r="H154" s="15"/>
    </row>
    <row r="155" spans="1:9" ht="15" x14ac:dyDescent="0.2">
      <c r="A155" s="8">
        <v>1</v>
      </c>
      <c r="B155" s="1" t="s">
        <v>49</v>
      </c>
      <c r="C155" s="1" t="s">
        <v>219</v>
      </c>
      <c r="D155" s="1" t="s">
        <v>51</v>
      </c>
      <c r="E155" s="72" t="s">
        <v>52</v>
      </c>
      <c r="F155" s="2">
        <v>56303</v>
      </c>
      <c r="G155" s="6" t="s">
        <v>240</v>
      </c>
      <c r="H155" s="15"/>
    </row>
    <row r="156" spans="1:9" ht="15" x14ac:dyDescent="0.2">
      <c r="A156" s="8">
        <v>1</v>
      </c>
      <c r="B156" s="1" t="s">
        <v>49</v>
      </c>
      <c r="C156" s="1" t="s">
        <v>219</v>
      </c>
      <c r="D156" s="1" t="s">
        <v>51</v>
      </c>
      <c r="E156" s="72" t="s">
        <v>52</v>
      </c>
      <c r="F156" s="2">
        <v>56304</v>
      </c>
      <c r="G156" s="6" t="s">
        <v>208</v>
      </c>
      <c r="H156" s="15"/>
    </row>
    <row r="157" spans="1:9" ht="15" x14ac:dyDescent="0.2">
      <c r="A157" s="8">
        <v>1</v>
      </c>
      <c r="B157" s="1" t="s">
        <v>49</v>
      </c>
      <c r="C157" s="1" t="s">
        <v>219</v>
      </c>
      <c r="D157" s="1" t="s">
        <v>51</v>
      </c>
      <c r="E157" s="72" t="s">
        <v>52</v>
      </c>
      <c r="F157" s="2">
        <v>61101</v>
      </c>
      <c r="G157" s="7" t="s">
        <v>241</v>
      </c>
      <c r="H157" s="17"/>
    </row>
    <row r="158" spans="1:9" ht="15" x14ac:dyDescent="0.2">
      <c r="A158" s="8">
        <v>1</v>
      </c>
      <c r="B158" s="1" t="s">
        <v>49</v>
      </c>
      <c r="C158" s="1" t="s">
        <v>219</v>
      </c>
      <c r="D158" s="1" t="s">
        <v>51</v>
      </c>
      <c r="E158" s="72" t="s">
        <v>52</v>
      </c>
      <c r="F158" s="2">
        <v>61104</v>
      </c>
      <c r="G158" s="7" t="s">
        <v>242</v>
      </c>
      <c r="H158" s="17"/>
    </row>
    <row r="159" spans="1:9" ht="15" x14ac:dyDescent="0.2">
      <c r="A159" s="8">
        <v>1</v>
      </c>
      <c r="B159" s="1" t="s">
        <v>49</v>
      </c>
      <c r="C159" s="1" t="s">
        <v>219</v>
      </c>
      <c r="D159" s="1" t="s">
        <v>51</v>
      </c>
      <c r="E159" s="72" t="s">
        <v>52</v>
      </c>
      <c r="F159" s="2">
        <v>72101</v>
      </c>
      <c r="G159" s="7" t="s">
        <v>243</v>
      </c>
      <c r="H159" s="17"/>
    </row>
    <row r="160" spans="1:9" ht="15.75" thickBot="1" x14ac:dyDescent="0.25">
      <c r="A160" s="18"/>
      <c r="B160" s="16"/>
      <c r="C160" s="1"/>
      <c r="D160" s="16"/>
      <c r="E160" s="73"/>
      <c r="F160" s="3"/>
      <c r="G160" s="7"/>
      <c r="H160" s="17"/>
    </row>
    <row r="161" spans="1:9" ht="23.25" thickBot="1" x14ac:dyDescent="0.6">
      <c r="A161" s="626"/>
      <c r="B161" s="627"/>
      <c r="C161" s="627"/>
      <c r="D161" s="627"/>
      <c r="E161" s="627"/>
      <c r="F161" s="628"/>
      <c r="G161" s="334" t="s">
        <v>233</v>
      </c>
      <c r="H161" s="335">
        <f>SUM(H97:H160)</f>
        <v>124147.27000000002</v>
      </c>
    </row>
    <row r="167" spans="1:9" ht="20.25" x14ac:dyDescent="0.25">
      <c r="A167" s="560"/>
      <c r="B167" s="560"/>
      <c r="C167" s="560"/>
      <c r="D167" s="560"/>
      <c r="E167" s="560"/>
      <c r="F167" s="560"/>
      <c r="G167" s="560"/>
      <c r="H167" s="560"/>
      <c r="I167" s="236"/>
    </row>
    <row r="168" spans="1:9" ht="18" x14ac:dyDescent="0.2">
      <c r="A168" s="620" t="s">
        <v>372</v>
      </c>
      <c r="B168" s="620"/>
      <c r="C168" s="620"/>
      <c r="D168" s="620"/>
      <c r="E168" s="620"/>
      <c r="F168" s="620"/>
      <c r="G168" s="620"/>
      <c r="H168" s="620"/>
      <c r="I168" s="268"/>
    </row>
    <row r="169" spans="1:9" ht="15.75" x14ac:dyDescent="0.25">
      <c r="A169" s="624" t="s">
        <v>175</v>
      </c>
      <c r="B169" s="557"/>
      <c r="C169" s="557"/>
      <c r="D169" s="557"/>
      <c r="E169" s="557"/>
      <c r="F169" s="557"/>
      <c r="G169" s="557"/>
      <c r="H169" s="557"/>
    </row>
    <row r="170" spans="1:9" ht="15.75" x14ac:dyDescent="0.25">
      <c r="A170" s="624" t="s">
        <v>640</v>
      </c>
      <c r="B170" s="557"/>
      <c r="C170" s="557"/>
      <c r="D170" s="557"/>
      <c r="E170" s="557"/>
      <c r="F170" s="557"/>
      <c r="G170" s="557"/>
      <c r="H170" s="557"/>
    </row>
    <row r="171" spans="1:9" ht="15" x14ac:dyDescent="0.2">
      <c r="A171" s="635" t="s">
        <v>11</v>
      </c>
      <c r="B171" s="636"/>
      <c r="C171" s="636"/>
      <c r="D171" s="636"/>
      <c r="E171" s="636"/>
      <c r="F171" s="636"/>
      <c r="G171" s="636"/>
      <c r="H171" s="636"/>
    </row>
    <row r="172" spans="1:9" ht="18" x14ac:dyDescent="0.25">
      <c r="A172" s="637"/>
      <c r="B172" s="638"/>
      <c r="C172" s="638"/>
      <c r="D172" s="638"/>
      <c r="E172" s="638"/>
      <c r="F172" s="638"/>
      <c r="G172" s="638"/>
      <c r="H172" s="638"/>
    </row>
    <row r="173" spans="1:9" ht="15" x14ac:dyDescent="0.25">
      <c r="A173" s="639" t="s">
        <v>13</v>
      </c>
      <c r="B173" s="639"/>
      <c r="C173" s="639"/>
      <c r="D173" s="639"/>
      <c r="E173" s="639"/>
      <c r="F173" s="639"/>
      <c r="G173" s="639"/>
      <c r="H173" s="639"/>
    </row>
    <row r="174" spans="1:9" ht="15.75" thickBot="1" x14ac:dyDescent="0.3">
      <c r="A174" s="625" t="s">
        <v>56</v>
      </c>
      <c r="B174" s="625"/>
      <c r="C174" s="625"/>
      <c r="D174" s="625"/>
      <c r="E174" s="625"/>
      <c r="F174" s="625"/>
      <c r="G174" s="625"/>
      <c r="H174" s="625"/>
    </row>
    <row r="175" spans="1:9" ht="13.5" thickBot="1" x14ac:dyDescent="0.25">
      <c r="A175" s="629" t="s">
        <v>0</v>
      </c>
      <c r="B175" s="630"/>
      <c r="C175" s="630"/>
      <c r="D175" s="630"/>
      <c r="E175" s="630"/>
      <c r="F175" s="630"/>
      <c r="G175" s="631" t="s">
        <v>151</v>
      </c>
      <c r="H175" s="633" t="s">
        <v>152</v>
      </c>
    </row>
    <row r="176" spans="1:9" ht="170.25" thickBot="1" x14ac:dyDescent="0.25">
      <c r="A176" s="330" t="s">
        <v>144</v>
      </c>
      <c r="B176" s="331" t="s">
        <v>145</v>
      </c>
      <c r="C176" s="331" t="s">
        <v>122</v>
      </c>
      <c r="D176" s="331" t="s">
        <v>150</v>
      </c>
      <c r="E176" s="332" t="s">
        <v>147</v>
      </c>
      <c r="F176" s="333" t="s">
        <v>148</v>
      </c>
      <c r="G176" s="632"/>
      <c r="H176" s="634"/>
      <c r="I176" s="199"/>
    </row>
    <row r="177" spans="1:11" ht="15" x14ac:dyDescent="0.2">
      <c r="A177" s="9">
        <v>1</v>
      </c>
      <c r="B177" s="10" t="s">
        <v>219</v>
      </c>
      <c r="C177" s="10" t="s">
        <v>49</v>
      </c>
      <c r="D177" s="10" t="s">
        <v>51</v>
      </c>
      <c r="E177" s="71" t="s">
        <v>52</v>
      </c>
      <c r="F177" s="74" t="s">
        <v>34</v>
      </c>
      <c r="G177" s="12" t="s">
        <v>35</v>
      </c>
      <c r="H177" s="14">
        <f>6516.12*12</f>
        <v>78193.440000000002</v>
      </c>
      <c r="I177" s="235"/>
    </row>
    <row r="178" spans="1:11" ht="15" x14ac:dyDescent="0.2">
      <c r="A178" s="8">
        <v>1</v>
      </c>
      <c r="B178" s="10" t="s">
        <v>219</v>
      </c>
      <c r="C178" s="1" t="s">
        <v>49</v>
      </c>
      <c r="D178" s="1" t="s">
        <v>51</v>
      </c>
      <c r="E178" s="72" t="s">
        <v>52</v>
      </c>
      <c r="F178" s="2">
        <v>51103</v>
      </c>
      <c r="G178" s="6" t="s">
        <v>36</v>
      </c>
      <c r="H178" s="15">
        <v>14640.6</v>
      </c>
      <c r="J178" s="194"/>
      <c r="K178" s="237"/>
    </row>
    <row r="179" spans="1:11" ht="15" x14ac:dyDescent="0.2">
      <c r="A179" s="8">
        <v>1</v>
      </c>
      <c r="B179" s="10" t="s">
        <v>219</v>
      </c>
      <c r="C179" s="1" t="s">
        <v>49</v>
      </c>
      <c r="D179" s="1" t="s">
        <v>51</v>
      </c>
      <c r="E179" s="71" t="s">
        <v>52</v>
      </c>
      <c r="F179" s="2">
        <v>51105</v>
      </c>
      <c r="G179" s="6" t="s">
        <v>71</v>
      </c>
      <c r="H179" s="13"/>
    </row>
    <row r="180" spans="1:11" ht="15" x14ac:dyDescent="0.2">
      <c r="A180" s="8"/>
      <c r="B180" s="10" t="s">
        <v>219</v>
      </c>
      <c r="C180" s="1"/>
      <c r="D180" s="1"/>
      <c r="E180" s="71"/>
      <c r="F180" s="2">
        <v>51107</v>
      </c>
      <c r="G180" s="6" t="s">
        <v>540</v>
      </c>
      <c r="H180" s="13"/>
    </row>
    <row r="181" spans="1:11" ht="15" x14ac:dyDescent="0.2">
      <c r="A181" s="8">
        <v>1</v>
      </c>
      <c r="B181" s="10" t="s">
        <v>219</v>
      </c>
      <c r="C181" s="1" t="s">
        <v>49</v>
      </c>
      <c r="D181" s="1" t="s">
        <v>51</v>
      </c>
      <c r="E181" s="71" t="s">
        <v>52</v>
      </c>
      <c r="F181" s="2">
        <v>51201</v>
      </c>
      <c r="G181" s="6" t="s">
        <v>35</v>
      </c>
      <c r="H181" s="13"/>
    </row>
    <row r="182" spans="1:11" ht="15" x14ac:dyDescent="0.2">
      <c r="A182" s="8">
        <v>1</v>
      </c>
      <c r="B182" s="10" t="s">
        <v>219</v>
      </c>
      <c r="C182" s="1" t="s">
        <v>49</v>
      </c>
      <c r="D182" s="1" t="s">
        <v>51</v>
      </c>
      <c r="E182" s="71" t="s">
        <v>52</v>
      </c>
      <c r="F182" s="2">
        <v>51202</v>
      </c>
      <c r="G182" s="6" t="s">
        <v>155</v>
      </c>
      <c r="H182" s="13"/>
    </row>
    <row r="183" spans="1:11" ht="15" x14ac:dyDescent="0.2">
      <c r="A183" s="8">
        <v>1</v>
      </c>
      <c r="B183" s="10" t="s">
        <v>219</v>
      </c>
      <c r="C183" s="1" t="s">
        <v>49</v>
      </c>
      <c r="D183" s="1" t="s">
        <v>51</v>
      </c>
      <c r="E183" s="72" t="s">
        <v>52</v>
      </c>
      <c r="F183" s="2">
        <v>51401</v>
      </c>
      <c r="G183" s="6" t="s">
        <v>541</v>
      </c>
      <c r="H183" s="15"/>
      <c r="I183" s="235"/>
    </row>
    <row r="184" spans="1:11" ht="15" x14ac:dyDescent="0.2">
      <c r="A184" s="8">
        <v>1</v>
      </c>
      <c r="B184" s="10" t="s">
        <v>219</v>
      </c>
      <c r="C184" s="1" t="s">
        <v>49</v>
      </c>
      <c r="D184" s="1" t="s">
        <v>51</v>
      </c>
      <c r="E184" s="72" t="s">
        <v>52</v>
      </c>
      <c r="F184" s="2">
        <v>51501</v>
      </c>
      <c r="G184" s="6" t="s">
        <v>542</v>
      </c>
      <c r="H184" s="15"/>
      <c r="I184" s="235"/>
    </row>
    <row r="185" spans="1:11" ht="15" x14ac:dyDescent="0.2">
      <c r="A185" s="8">
        <v>1</v>
      </c>
      <c r="B185" s="10" t="s">
        <v>219</v>
      </c>
      <c r="C185" s="1" t="s">
        <v>49</v>
      </c>
      <c r="D185" s="1" t="s">
        <v>51</v>
      </c>
      <c r="E185" s="72" t="s">
        <v>52</v>
      </c>
      <c r="F185" s="2">
        <v>51999</v>
      </c>
      <c r="G185" s="6" t="s">
        <v>172</v>
      </c>
      <c r="H185" s="15"/>
    </row>
    <row r="186" spans="1:11" ht="15" x14ac:dyDescent="0.2">
      <c r="A186" s="8">
        <v>1</v>
      </c>
      <c r="B186" s="10" t="s">
        <v>219</v>
      </c>
      <c r="C186" s="1" t="s">
        <v>49</v>
      </c>
      <c r="D186" s="1" t="s">
        <v>51</v>
      </c>
      <c r="E186" s="72" t="s">
        <v>52</v>
      </c>
      <c r="F186" s="2">
        <v>54101</v>
      </c>
      <c r="G186" s="6" t="s">
        <v>38</v>
      </c>
      <c r="H186" s="15"/>
    </row>
    <row r="187" spans="1:11" ht="15" x14ac:dyDescent="0.2">
      <c r="A187" s="8">
        <v>1</v>
      </c>
      <c r="B187" s="10" t="s">
        <v>219</v>
      </c>
      <c r="C187" s="1" t="s">
        <v>49</v>
      </c>
      <c r="D187" s="1" t="s">
        <v>51</v>
      </c>
      <c r="E187" s="72" t="s">
        <v>52</v>
      </c>
      <c r="F187" s="2">
        <v>54104</v>
      </c>
      <c r="G187" s="6" t="s">
        <v>156</v>
      </c>
      <c r="H187" s="15"/>
    </row>
    <row r="188" spans="1:11" ht="15" x14ac:dyDescent="0.2">
      <c r="A188" s="8">
        <v>1</v>
      </c>
      <c r="B188" s="10" t="s">
        <v>219</v>
      </c>
      <c r="C188" s="1" t="s">
        <v>49</v>
      </c>
      <c r="D188" s="1" t="s">
        <v>51</v>
      </c>
      <c r="E188" s="72" t="s">
        <v>52</v>
      </c>
      <c r="F188" s="2">
        <v>54105</v>
      </c>
      <c r="G188" s="6" t="s">
        <v>39</v>
      </c>
      <c r="H188" s="15"/>
    </row>
    <row r="189" spans="1:11" ht="15" x14ac:dyDescent="0.2">
      <c r="A189" s="8"/>
      <c r="B189" s="10" t="s">
        <v>219</v>
      </c>
      <c r="C189" s="1"/>
      <c r="D189" s="1"/>
      <c r="E189" s="72"/>
      <c r="F189" s="2">
        <v>54106</v>
      </c>
      <c r="G189" s="6" t="s">
        <v>365</v>
      </c>
      <c r="H189" s="15"/>
    </row>
    <row r="190" spans="1:11" ht="15" x14ac:dyDescent="0.2">
      <c r="A190" s="8">
        <v>1</v>
      </c>
      <c r="B190" s="10" t="s">
        <v>219</v>
      </c>
      <c r="C190" s="1" t="s">
        <v>49</v>
      </c>
      <c r="D190" s="1" t="s">
        <v>51</v>
      </c>
      <c r="E190" s="72" t="s">
        <v>52</v>
      </c>
      <c r="F190" s="2">
        <v>54107</v>
      </c>
      <c r="G190" s="6" t="s">
        <v>158</v>
      </c>
      <c r="H190" s="15"/>
    </row>
    <row r="191" spans="1:11" ht="15" x14ac:dyDescent="0.2">
      <c r="A191" s="8">
        <v>1</v>
      </c>
      <c r="B191" s="10" t="s">
        <v>219</v>
      </c>
      <c r="C191" s="1" t="s">
        <v>49</v>
      </c>
      <c r="D191" s="1" t="s">
        <v>51</v>
      </c>
      <c r="E191" s="72" t="s">
        <v>52</v>
      </c>
      <c r="F191" s="2">
        <v>54108</v>
      </c>
      <c r="G191" s="6" t="s">
        <v>223</v>
      </c>
      <c r="H191" s="15"/>
    </row>
    <row r="192" spans="1:11" ht="15" x14ac:dyDescent="0.2">
      <c r="A192" s="8">
        <v>1</v>
      </c>
      <c r="B192" s="10" t="s">
        <v>219</v>
      </c>
      <c r="C192" s="1" t="s">
        <v>49</v>
      </c>
      <c r="D192" s="1" t="s">
        <v>51</v>
      </c>
      <c r="E192" s="72" t="s">
        <v>52</v>
      </c>
      <c r="F192" s="2">
        <v>54109</v>
      </c>
      <c r="G192" s="6" t="s">
        <v>159</v>
      </c>
      <c r="H192" s="15">
        <v>6000</v>
      </c>
    </row>
    <row r="193" spans="1:8" ht="15" x14ac:dyDescent="0.2">
      <c r="A193" s="8">
        <v>1</v>
      </c>
      <c r="B193" s="10" t="s">
        <v>219</v>
      </c>
      <c r="C193" s="1" t="s">
        <v>49</v>
      </c>
      <c r="D193" s="1" t="s">
        <v>51</v>
      </c>
      <c r="E193" s="72" t="s">
        <v>52</v>
      </c>
      <c r="F193" s="2">
        <v>54110</v>
      </c>
      <c r="G193" s="447" t="s">
        <v>40</v>
      </c>
      <c r="H193" s="15">
        <f>25000-10000</f>
        <v>15000</v>
      </c>
    </row>
    <row r="194" spans="1:8" ht="15" x14ac:dyDescent="0.2">
      <c r="A194" s="8">
        <v>1</v>
      </c>
      <c r="B194" s="10" t="s">
        <v>219</v>
      </c>
      <c r="C194" s="1" t="s">
        <v>49</v>
      </c>
      <c r="D194" s="1" t="s">
        <v>51</v>
      </c>
      <c r="E194" s="72" t="s">
        <v>52</v>
      </c>
      <c r="F194" s="2">
        <v>54111</v>
      </c>
      <c r="G194" s="6" t="s">
        <v>47</v>
      </c>
      <c r="H194" s="15"/>
    </row>
    <row r="195" spans="1:8" ht="15" x14ac:dyDescent="0.2">
      <c r="A195" s="8">
        <v>1</v>
      </c>
      <c r="B195" s="10" t="s">
        <v>219</v>
      </c>
      <c r="C195" s="1" t="s">
        <v>49</v>
      </c>
      <c r="D195" s="1" t="s">
        <v>51</v>
      </c>
      <c r="E195" s="72" t="s">
        <v>52</v>
      </c>
      <c r="F195" s="2">
        <v>54112</v>
      </c>
      <c r="G195" s="6" t="s">
        <v>46</v>
      </c>
      <c r="H195" s="15"/>
    </row>
    <row r="196" spans="1:8" ht="15" x14ac:dyDescent="0.2">
      <c r="A196" s="8">
        <v>1</v>
      </c>
      <c r="B196" s="10" t="s">
        <v>219</v>
      </c>
      <c r="C196" s="1" t="s">
        <v>49</v>
      </c>
      <c r="D196" s="1" t="s">
        <v>51</v>
      </c>
      <c r="E196" s="72" t="s">
        <v>52</v>
      </c>
      <c r="F196" s="2">
        <v>54114</v>
      </c>
      <c r="G196" s="6" t="s">
        <v>41</v>
      </c>
      <c r="H196" s="15"/>
    </row>
    <row r="197" spans="1:8" ht="15" x14ac:dyDescent="0.2">
      <c r="A197" s="8">
        <v>1</v>
      </c>
      <c r="B197" s="10" t="s">
        <v>219</v>
      </c>
      <c r="C197" s="1" t="s">
        <v>49</v>
      </c>
      <c r="D197" s="1" t="s">
        <v>51</v>
      </c>
      <c r="E197" s="72" t="s">
        <v>52</v>
      </c>
      <c r="F197" s="2">
        <v>54115</v>
      </c>
      <c r="G197" s="6" t="s">
        <v>76</v>
      </c>
      <c r="H197" s="15"/>
    </row>
    <row r="198" spans="1:8" ht="15" x14ac:dyDescent="0.2">
      <c r="A198" s="8">
        <v>1</v>
      </c>
      <c r="B198" s="10" t="s">
        <v>219</v>
      </c>
      <c r="C198" s="1" t="s">
        <v>49</v>
      </c>
      <c r="D198" s="1" t="s">
        <v>51</v>
      </c>
      <c r="E198" s="72" t="s">
        <v>52</v>
      </c>
      <c r="F198" s="2">
        <v>54116</v>
      </c>
      <c r="G198" s="6" t="s">
        <v>234</v>
      </c>
      <c r="H198" s="15"/>
    </row>
    <row r="199" spans="1:8" ht="15" x14ac:dyDescent="0.2">
      <c r="A199" s="8">
        <v>1</v>
      </c>
      <c r="B199" s="10" t="s">
        <v>219</v>
      </c>
      <c r="C199" s="1" t="s">
        <v>49</v>
      </c>
      <c r="D199" s="1" t="s">
        <v>51</v>
      </c>
      <c r="E199" s="72" t="s">
        <v>52</v>
      </c>
      <c r="F199" s="2">
        <v>54118</v>
      </c>
      <c r="G199" s="6" t="s">
        <v>209</v>
      </c>
      <c r="H199" s="15"/>
    </row>
    <row r="200" spans="1:8" ht="15" x14ac:dyDescent="0.2">
      <c r="A200" s="8">
        <v>1</v>
      </c>
      <c r="B200" s="10" t="s">
        <v>219</v>
      </c>
      <c r="C200" s="1" t="s">
        <v>49</v>
      </c>
      <c r="D200" s="1" t="s">
        <v>51</v>
      </c>
      <c r="E200" s="72" t="s">
        <v>52</v>
      </c>
      <c r="F200" s="2">
        <v>54119</v>
      </c>
      <c r="G200" s="6" t="s">
        <v>89</v>
      </c>
      <c r="H200" s="15"/>
    </row>
    <row r="201" spans="1:8" ht="15" x14ac:dyDescent="0.2">
      <c r="A201" s="8">
        <v>1</v>
      </c>
      <c r="B201" s="10" t="s">
        <v>219</v>
      </c>
      <c r="C201" s="1" t="s">
        <v>49</v>
      </c>
      <c r="D201" s="1" t="s">
        <v>51</v>
      </c>
      <c r="E201" s="72" t="s">
        <v>52</v>
      </c>
      <c r="F201" s="2">
        <v>54121</v>
      </c>
      <c r="G201" s="6" t="s">
        <v>78</v>
      </c>
      <c r="H201" s="15">
        <v>1000</v>
      </c>
    </row>
    <row r="202" spans="1:8" ht="15" x14ac:dyDescent="0.2">
      <c r="A202" s="8">
        <v>1</v>
      </c>
      <c r="B202" s="10" t="s">
        <v>219</v>
      </c>
      <c r="C202" s="1" t="s">
        <v>49</v>
      </c>
      <c r="D202" s="1" t="s">
        <v>51</v>
      </c>
      <c r="E202" s="72" t="s">
        <v>52</v>
      </c>
      <c r="F202" s="2">
        <v>54199</v>
      </c>
      <c r="G202" s="6" t="s">
        <v>214</v>
      </c>
      <c r="H202" s="15">
        <v>1000</v>
      </c>
    </row>
    <row r="203" spans="1:8" ht="15" x14ac:dyDescent="0.2">
      <c r="A203" s="8">
        <v>1</v>
      </c>
      <c r="B203" s="10" t="s">
        <v>219</v>
      </c>
      <c r="C203" s="1" t="s">
        <v>49</v>
      </c>
      <c r="D203" s="1" t="s">
        <v>51</v>
      </c>
      <c r="E203" s="72" t="s">
        <v>52</v>
      </c>
      <c r="F203" s="2">
        <v>54201</v>
      </c>
      <c r="G203" s="6" t="s">
        <v>42</v>
      </c>
      <c r="H203" s="15"/>
    </row>
    <row r="204" spans="1:8" ht="15" x14ac:dyDescent="0.2">
      <c r="A204" s="8">
        <v>1</v>
      </c>
      <c r="B204" s="10" t="s">
        <v>219</v>
      </c>
      <c r="C204" s="1" t="s">
        <v>49</v>
      </c>
      <c r="D204" s="1" t="s">
        <v>51</v>
      </c>
      <c r="E204" s="72" t="s">
        <v>52</v>
      </c>
      <c r="F204" s="2">
        <v>54202</v>
      </c>
      <c r="G204" s="6" t="s">
        <v>43</v>
      </c>
      <c r="H204" s="15"/>
    </row>
    <row r="205" spans="1:8" ht="15" x14ac:dyDescent="0.2">
      <c r="A205" s="8">
        <v>1</v>
      </c>
      <c r="B205" s="10" t="s">
        <v>219</v>
      </c>
      <c r="C205" s="1" t="s">
        <v>49</v>
      </c>
      <c r="D205" s="1" t="s">
        <v>51</v>
      </c>
      <c r="E205" s="72" t="s">
        <v>52</v>
      </c>
      <c r="F205" s="2">
        <v>54203</v>
      </c>
      <c r="G205" s="6" t="s">
        <v>44</v>
      </c>
      <c r="H205" s="15"/>
    </row>
    <row r="206" spans="1:8" ht="15" x14ac:dyDescent="0.2">
      <c r="A206" s="8">
        <v>1</v>
      </c>
      <c r="B206" s="10" t="s">
        <v>219</v>
      </c>
      <c r="C206" s="1" t="s">
        <v>49</v>
      </c>
      <c r="D206" s="1" t="s">
        <v>51</v>
      </c>
      <c r="E206" s="72" t="s">
        <v>52</v>
      </c>
      <c r="F206" s="2">
        <v>54204</v>
      </c>
      <c r="G206" s="6" t="s">
        <v>235</v>
      </c>
      <c r="H206" s="15"/>
    </row>
    <row r="207" spans="1:8" ht="15.75" thickBot="1" x14ac:dyDescent="0.25">
      <c r="A207" s="8">
        <v>1</v>
      </c>
      <c r="B207" s="10" t="s">
        <v>219</v>
      </c>
      <c r="C207" s="1" t="s">
        <v>49</v>
      </c>
      <c r="D207" s="1" t="s">
        <v>51</v>
      </c>
      <c r="E207" s="72" t="s">
        <v>52</v>
      </c>
      <c r="F207" s="2">
        <v>54205</v>
      </c>
      <c r="G207" s="6" t="s">
        <v>23</v>
      </c>
      <c r="H207" s="15"/>
    </row>
    <row r="208" spans="1:8" ht="13.5" thickBot="1" x14ac:dyDescent="0.25">
      <c r="A208" s="629" t="s">
        <v>0</v>
      </c>
      <c r="B208" s="630"/>
      <c r="C208" s="630"/>
      <c r="D208" s="630"/>
      <c r="E208" s="630"/>
      <c r="F208" s="630"/>
      <c r="G208" s="631" t="s">
        <v>151</v>
      </c>
      <c r="H208" s="633" t="s">
        <v>152</v>
      </c>
    </row>
    <row r="209" spans="1:9" ht="170.25" thickBot="1" x14ac:dyDescent="0.25">
      <c r="A209" s="330" t="s">
        <v>144</v>
      </c>
      <c r="B209" s="331" t="s">
        <v>145</v>
      </c>
      <c r="C209" s="331" t="s">
        <v>122</v>
      </c>
      <c r="D209" s="331" t="s">
        <v>150</v>
      </c>
      <c r="E209" s="332" t="s">
        <v>147</v>
      </c>
      <c r="F209" s="333" t="s">
        <v>148</v>
      </c>
      <c r="G209" s="632"/>
      <c r="H209" s="634"/>
      <c r="I209" s="199"/>
    </row>
    <row r="210" spans="1:9" ht="15" x14ac:dyDescent="0.2">
      <c r="A210" s="8">
        <v>1</v>
      </c>
      <c r="B210" s="1" t="s">
        <v>219</v>
      </c>
      <c r="C210" s="1" t="s">
        <v>49</v>
      </c>
      <c r="D210" s="1" t="s">
        <v>51</v>
      </c>
      <c r="E210" s="72" t="s">
        <v>52</v>
      </c>
      <c r="F210" s="2">
        <v>54301</v>
      </c>
      <c r="G210" s="6" t="s">
        <v>212</v>
      </c>
      <c r="H210" s="15">
        <v>1000</v>
      </c>
    </row>
    <row r="211" spans="1:9" ht="15" x14ac:dyDescent="0.2">
      <c r="A211" s="8">
        <v>1</v>
      </c>
      <c r="B211" s="1" t="s">
        <v>219</v>
      </c>
      <c r="C211" s="1" t="s">
        <v>49</v>
      </c>
      <c r="D211" s="1" t="s">
        <v>51</v>
      </c>
      <c r="E211" s="72" t="s">
        <v>52</v>
      </c>
      <c r="F211" s="2">
        <v>54302</v>
      </c>
      <c r="G211" s="6" t="s">
        <v>211</v>
      </c>
      <c r="H211" s="15">
        <v>1000</v>
      </c>
    </row>
    <row r="212" spans="1:9" ht="15" x14ac:dyDescent="0.2">
      <c r="A212" s="8">
        <v>1</v>
      </c>
      <c r="B212" s="1" t="s">
        <v>219</v>
      </c>
      <c r="C212" s="1" t="s">
        <v>49</v>
      </c>
      <c r="D212" s="1" t="s">
        <v>51</v>
      </c>
      <c r="E212" s="72" t="s">
        <v>52</v>
      </c>
      <c r="F212" s="2">
        <v>54303</v>
      </c>
      <c r="G212" s="6" t="s">
        <v>210</v>
      </c>
      <c r="H212" s="15"/>
    </row>
    <row r="213" spans="1:9" ht="15" x14ac:dyDescent="0.2">
      <c r="A213" s="8">
        <v>1</v>
      </c>
      <c r="B213" s="1" t="s">
        <v>219</v>
      </c>
      <c r="C213" s="1" t="s">
        <v>49</v>
      </c>
      <c r="D213" s="1" t="s">
        <v>51</v>
      </c>
      <c r="E213" s="72" t="s">
        <v>52</v>
      </c>
      <c r="F213" s="2">
        <v>54304</v>
      </c>
      <c r="G213" s="6" t="s">
        <v>85</v>
      </c>
      <c r="H213" s="15"/>
    </row>
    <row r="214" spans="1:9" ht="15" x14ac:dyDescent="0.2">
      <c r="A214" s="8">
        <v>1</v>
      </c>
      <c r="B214" s="1" t="s">
        <v>219</v>
      </c>
      <c r="C214" s="1" t="s">
        <v>49</v>
      </c>
      <c r="D214" s="1" t="s">
        <v>51</v>
      </c>
      <c r="E214" s="72" t="s">
        <v>52</v>
      </c>
      <c r="F214" s="2">
        <v>54305</v>
      </c>
      <c r="G214" s="6" t="s">
        <v>73</v>
      </c>
      <c r="H214" s="15"/>
    </row>
    <row r="215" spans="1:9" ht="15" x14ac:dyDescent="0.2">
      <c r="A215" s="8">
        <v>1</v>
      </c>
      <c r="B215" s="1" t="s">
        <v>219</v>
      </c>
      <c r="C215" s="1" t="s">
        <v>49</v>
      </c>
      <c r="D215" s="1" t="s">
        <v>51</v>
      </c>
      <c r="E215" s="72" t="s">
        <v>52</v>
      </c>
      <c r="F215" s="2">
        <v>54399</v>
      </c>
      <c r="G215" s="6" t="s">
        <v>360</v>
      </c>
      <c r="H215" s="15"/>
    </row>
    <row r="216" spans="1:9" ht="15" x14ac:dyDescent="0.2">
      <c r="A216" s="8">
        <v>1</v>
      </c>
      <c r="B216" s="1" t="s">
        <v>219</v>
      </c>
      <c r="C216" s="1" t="s">
        <v>49</v>
      </c>
      <c r="D216" s="1" t="s">
        <v>51</v>
      </c>
      <c r="E216" s="72" t="s">
        <v>52</v>
      </c>
      <c r="F216" s="2">
        <v>54310</v>
      </c>
      <c r="G216" s="6" t="s">
        <v>167</v>
      </c>
      <c r="H216" s="15"/>
    </row>
    <row r="217" spans="1:9" ht="15" x14ac:dyDescent="0.2">
      <c r="A217" s="8">
        <v>1</v>
      </c>
      <c r="B217" s="1" t="s">
        <v>219</v>
      </c>
      <c r="C217" s="1" t="s">
        <v>49</v>
      </c>
      <c r="D217" s="1" t="s">
        <v>51</v>
      </c>
      <c r="E217" s="72" t="s">
        <v>52</v>
      </c>
      <c r="F217" s="2">
        <v>54313</v>
      </c>
      <c r="G217" s="6" t="s">
        <v>236</v>
      </c>
      <c r="H217" s="15"/>
    </row>
    <row r="218" spans="1:9" ht="15" x14ac:dyDescent="0.2">
      <c r="A218" s="8">
        <v>1</v>
      </c>
      <c r="B218" s="1" t="s">
        <v>219</v>
      </c>
      <c r="C218" s="1" t="s">
        <v>49</v>
      </c>
      <c r="D218" s="1" t="s">
        <v>51</v>
      </c>
      <c r="E218" s="72" t="s">
        <v>52</v>
      </c>
      <c r="F218" s="2">
        <v>54314</v>
      </c>
      <c r="G218" s="6" t="s">
        <v>79</v>
      </c>
      <c r="H218" s="15"/>
    </row>
    <row r="219" spans="1:9" ht="15" x14ac:dyDescent="0.2">
      <c r="A219" s="8"/>
      <c r="B219" s="1" t="s">
        <v>219</v>
      </c>
      <c r="C219" s="1"/>
      <c r="D219" s="1"/>
      <c r="E219" s="72"/>
      <c r="F219" s="2">
        <v>54316</v>
      </c>
      <c r="G219" s="6" t="s">
        <v>575</v>
      </c>
      <c r="H219" s="15"/>
    </row>
    <row r="220" spans="1:9" ht="15" x14ac:dyDescent="0.2">
      <c r="A220" s="8"/>
      <c r="B220" s="1" t="s">
        <v>219</v>
      </c>
      <c r="C220" s="1"/>
      <c r="D220" s="1"/>
      <c r="E220" s="72"/>
      <c r="F220" s="2">
        <v>54317</v>
      </c>
      <c r="G220" s="6" t="s">
        <v>576</v>
      </c>
      <c r="H220" s="15"/>
    </row>
    <row r="221" spans="1:9" ht="15" x14ac:dyDescent="0.2">
      <c r="A221" s="8">
        <v>1</v>
      </c>
      <c r="B221" s="1" t="s">
        <v>219</v>
      </c>
      <c r="C221" s="1" t="s">
        <v>49</v>
      </c>
      <c r="D221" s="1" t="s">
        <v>51</v>
      </c>
      <c r="E221" s="72" t="s">
        <v>52</v>
      </c>
      <c r="F221" s="2">
        <v>54401</v>
      </c>
      <c r="G221" s="6" t="s">
        <v>213</v>
      </c>
      <c r="H221" s="15"/>
    </row>
    <row r="222" spans="1:9" ht="15" x14ac:dyDescent="0.2">
      <c r="A222" s="8">
        <v>1</v>
      </c>
      <c r="B222" s="1" t="s">
        <v>219</v>
      </c>
      <c r="C222" s="1" t="s">
        <v>49</v>
      </c>
      <c r="D222" s="1" t="s">
        <v>51</v>
      </c>
      <c r="E222" s="72" t="s">
        <v>52</v>
      </c>
      <c r="F222" s="2">
        <v>54403</v>
      </c>
      <c r="G222" s="6" t="s">
        <v>207</v>
      </c>
      <c r="H222" s="15">
        <v>100</v>
      </c>
    </row>
    <row r="223" spans="1:9" ht="15" x14ac:dyDescent="0.2">
      <c r="A223" s="8">
        <v>1</v>
      </c>
      <c r="B223" s="1" t="s">
        <v>219</v>
      </c>
      <c r="C223" s="1" t="s">
        <v>49</v>
      </c>
      <c r="D223" s="1" t="s">
        <v>51</v>
      </c>
      <c r="E223" s="72" t="s">
        <v>52</v>
      </c>
      <c r="F223" s="2">
        <v>54503</v>
      </c>
      <c r="G223" s="6" t="s">
        <v>75</v>
      </c>
      <c r="H223" s="15"/>
    </row>
    <row r="224" spans="1:9" ht="15" x14ac:dyDescent="0.2">
      <c r="A224" s="8">
        <v>1</v>
      </c>
      <c r="B224" s="1" t="s">
        <v>219</v>
      </c>
      <c r="C224" s="1" t="s">
        <v>49</v>
      </c>
      <c r="D224" s="1" t="s">
        <v>51</v>
      </c>
      <c r="E224" s="72" t="s">
        <v>52</v>
      </c>
      <c r="F224" s="2">
        <v>54504</v>
      </c>
      <c r="G224" s="6" t="s">
        <v>80</v>
      </c>
      <c r="H224" s="15"/>
    </row>
    <row r="225" spans="1:10" ht="15" x14ac:dyDescent="0.2">
      <c r="A225" s="8">
        <v>1</v>
      </c>
      <c r="B225" s="1" t="s">
        <v>219</v>
      </c>
      <c r="C225" s="1" t="s">
        <v>49</v>
      </c>
      <c r="D225" s="1" t="s">
        <v>51</v>
      </c>
      <c r="E225" s="72" t="s">
        <v>52</v>
      </c>
      <c r="F225" s="2">
        <v>54507</v>
      </c>
      <c r="G225" s="6" t="s">
        <v>237</v>
      </c>
      <c r="H225" s="15"/>
    </row>
    <row r="226" spans="1:10" ht="15" x14ac:dyDescent="0.2">
      <c r="A226" s="8">
        <v>1</v>
      </c>
      <c r="B226" s="1" t="s">
        <v>219</v>
      </c>
      <c r="C226" s="1" t="s">
        <v>49</v>
      </c>
      <c r="D226" s="1" t="s">
        <v>51</v>
      </c>
      <c r="E226" s="72" t="s">
        <v>52</v>
      </c>
      <c r="F226" s="2">
        <v>54508</v>
      </c>
      <c r="G226" s="6" t="s">
        <v>184</v>
      </c>
      <c r="H226" s="15"/>
    </row>
    <row r="227" spans="1:10" ht="15" x14ac:dyDescent="0.2">
      <c r="A227" s="8">
        <v>1</v>
      </c>
      <c r="B227" s="1" t="s">
        <v>219</v>
      </c>
      <c r="C227" s="1" t="s">
        <v>49</v>
      </c>
      <c r="D227" s="1" t="s">
        <v>51</v>
      </c>
      <c r="E227" s="72" t="s">
        <v>52</v>
      </c>
      <c r="F227" s="2">
        <v>54599</v>
      </c>
      <c r="G227" s="6" t="s">
        <v>238</v>
      </c>
      <c r="H227" s="15"/>
    </row>
    <row r="228" spans="1:10" ht="15" x14ac:dyDescent="0.2">
      <c r="A228" s="8">
        <v>1</v>
      </c>
      <c r="B228" s="1" t="s">
        <v>219</v>
      </c>
      <c r="C228" s="1" t="s">
        <v>49</v>
      </c>
      <c r="D228" s="1" t="s">
        <v>51</v>
      </c>
      <c r="E228" s="72" t="s">
        <v>52</v>
      </c>
      <c r="F228" s="2">
        <v>55508</v>
      </c>
      <c r="G228" s="6" t="s">
        <v>81</v>
      </c>
      <c r="H228" s="15"/>
    </row>
    <row r="229" spans="1:10" ht="15" x14ac:dyDescent="0.2">
      <c r="A229" s="8">
        <v>1</v>
      </c>
      <c r="B229" s="1" t="s">
        <v>219</v>
      </c>
      <c r="C229" s="1" t="s">
        <v>49</v>
      </c>
      <c r="D229" s="1" t="s">
        <v>51</v>
      </c>
      <c r="E229" s="72" t="s">
        <v>52</v>
      </c>
      <c r="F229" s="2">
        <v>55601</v>
      </c>
      <c r="G229" s="6" t="s">
        <v>93</v>
      </c>
      <c r="H229" s="15"/>
    </row>
    <row r="230" spans="1:10" ht="15" x14ac:dyDescent="0.2">
      <c r="A230" s="8">
        <v>1</v>
      </c>
      <c r="B230" s="1" t="s">
        <v>219</v>
      </c>
      <c r="C230" s="1" t="s">
        <v>49</v>
      </c>
      <c r="D230" s="1" t="s">
        <v>51</v>
      </c>
      <c r="E230" s="72" t="s">
        <v>52</v>
      </c>
      <c r="F230" s="2">
        <v>55602</v>
      </c>
      <c r="G230" s="6" t="s">
        <v>239</v>
      </c>
      <c r="H230" s="15"/>
      <c r="J230" s="255"/>
    </row>
    <row r="231" spans="1:10" ht="15" x14ac:dyDescent="0.2">
      <c r="A231" s="8">
        <v>1</v>
      </c>
      <c r="B231" s="1" t="s">
        <v>219</v>
      </c>
      <c r="C231" s="1" t="s">
        <v>49</v>
      </c>
      <c r="D231" s="1" t="s">
        <v>51</v>
      </c>
      <c r="E231" s="72" t="s">
        <v>52</v>
      </c>
      <c r="F231" s="2">
        <v>55603</v>
      </c>
      <c r="G231" s="6" t="s">
        <v>82</v>
      </c>
      <c r="H231" s="15"/>
    </row>
    <row r="232" spans="1:10" ht="15" x14ac:dyDescent="0.2">
      <c r="A232" s="8">
        <v>1</v>
      </c>
      <c r="B232" s="1" t="s">
        <v>219</v>
      </c>
      <c r="C232" s="1" t="s">
        <v>49</v>
      </c>
      <c r="D232" s="1" t="s">
        <v>51</v>
      </c>
      <c r="E232" s="72" t="s">
        <v>52</v>
      </c>
      <c r="F232" s="2">
        <v>55703</v>
      </c>
      <c r="G232" s="6" t="s">
        <v>83</v>
      </c>
      <c r="H232" s="15"/>
    </row>
    <row r="233" spans="1:10" ht="15" x14ac:dyDescent="0.2">
      <c r="A233" s="8">
        <v>1</v>
      </c>
      <c r="B233" s="1" t="s">
        <v>219</v>
      </c>
      <c r="C233" s="1" t="s">
        <v>49</v>
      </c>
      <c r="D233" s="1" t="s">
        <v>51</v>
      </c>
      <c r="E233" s="72" t="s">
        <v>52</v>
      </c>
      <c r="F233" s="2">
        <v>55799</v>
      </c>
      <c r="G233" s="6" t="s">
        <v>215</v>
      </c>
      <c r="H233" s="15"/>
    </row>
    <row r="234" spans="1:10" ht="15" x14ac:dyDescent="0.2">
      <c r="A234" s="8">
        <v>1</v>
      </c>
      <c r="B234" s="1" t="s">
        <v>219</v>
      </c>
      <c r="C234" s="1" t="s">
        <v>49</v>
      </c>
      <c r="D234" s="1" t="s">
        <v>51</v>
      </c>
      <c r="E234" s="72" t="s">
        <v>52</v>
      </c>
      <c r="F234" s="2">
        <v>56201</v>
      </c>
      <c r="G234" s="6" t="s">
        <v>84</v>
      </c>
      <c r="H234" s="15"/>
    </row>
    <row r="235" spans="1:10" ht="15" x14ac:dyDescent="0.2">
      <c r="A235" s="8">
        <v>1</v>
      </c>
      <c r="B235" s="1" t="s">
        <v>219</v>
      </c>
      <c r="C235" s="1" t="s">
        <v>49</v>
      </c>
      <c r="D235" s="1" t="s">
        <v>51</v>
      </c>
      <c r="E235" s="72" t="s">
        <v>52</v>
      </c>
      <c r="F235" s="2">
        <v>56303</v>
      </c>
      <c r="G235" s="6" t="s">
        <v>240</v>
      </c>
      <c r="H235" s="15"/>
    </row>
    <row r="236" spans="1:10" ht="15" x14ac:dyDescent="0.2">
      <c r="A236" s="8">
        <v>1</v>
      </c>
      <c r="B236" s="1" t="s">
        <v>219</v>
      </c>
      <c r="C236" s="1" t="s">
        <v>49</v>
      </c>
      <c r="D236" s="1" t="s">
        <v>51</v>
      </c>
      <c r="E236" s="72" t="s">
        <v>52</v>
      </c>
      <c r="F236" s="2">
        <v>56304</v>
      </c>
      <c r="G236" s="6" t="s">
        <v>208</v>
      </c>
      <c r="H236" s="15"/>
    </row>
    <row r="237" spans="1:10" ht="15" x14ac:dyDescent="0.2">
      <c r="A237" s="8">
        <v>1</v>
      </c>
      <c r="B237" s="1" t="s">
        <v>219</v>
      </c>
      <c r="C237" s="1" t="s">
        <v>49</v>
      </c>
      <c r="D237" s="1" t="s">
        <v>51</v>
      </c>
      <c r="E237" s="72" t="s">
        <v>52</v>
      </c>
      <c r="F237" s="2">
        <v>61101</v>
      </c>
      <c r="G237" s="7" t="s">
        <v>241</v>
      </c>
      <c r="H237" s="17"/>
    </row>
    <row r="238" spans="1:10" ht="15" x14ac:dyDescent="0.2">
      <c r="A238" s="8">
        <v>1</v>
      </c>
      <c r="B238" s="1" t="s">
        <v>219</v>
      </c>
      <c r="C238" s="1" t="s">
        <v>49</v>
      </c>
      <c r="D238" s="1" t="s">
        <v>51</v>
      </c>
      <c r="E238" s="72" t="s">
        <v>52</v>
      </c>
      <c r="F238" s="2">
        <v>61104</v>
      </c>
      <c r="G238" s="7" t="s">
        <v>242</v>
      </c>
      <c r="H238" s="17"/>
    </row>
    <row r="239" spans="1:10" ht="15" x14ac:dyDescent="0.2">
      <c r="A239" s="8">
        <v>1</v>
      </c>
      <c r="B239" s="1" t="s">
        <v>219</v>
      </c>
      <c r="C239" s="1" t="s">
        <v>49</v>
      </c>
      <c r="D239" s="1" t="s">
        <v>51</v>
      </c>
      <c r="E239" s="72" t="s">
        <v>52</v>
      </c>
      <c r="F239" s="2">
        <v>72101</v>
      </c>
      <c r="G239" s="7" t="s">
        <v>243</v>
      </c>
      <c r="H239" s="17"/>
    </row>
    <row r="240" spans="1:10" ht="15.75" thickBot="1" x14ac:dyDescent="0.25">
      <c r="A240" s="18"/>
      <c r="B240" s="16"/>
      <c r="C240" s="16"/>
      <c r="D240" s="16"/>
      <c r="E240" s="73"/>
      <c r="F240" s="3"/>
      <c r="G240" s="7"/>
      <c r="H240" s="17"/>
    </row>
    <row r="241" spans="1:11" ht="23.25" thickBot="1" x14ac:dyDescent="0.6">
      <c r="A241" s="626"/>
      <c r="B241" s="627"/>
      <c r="C241" s="627"/>
      <c r="D241" s="627"/>
      <c r="E241" s="627"/>
      <c r="F241" s="628"/>
      <c r="G241" s="334" t="s">
        <v>233</v>
      </c>
      <c r="H241" s="335">
        <f>SUM(H177:H240)</f>
        <v>117934.04000000001</v>
      </c>
      <c r="J241" s="194"/>
      <c r="K241" s="86"/>
    </row>
    <row r="243" spans="1:11" x14ac:dyDescent="0.2">
      <c r="J243" s="255"/>
    </row>
  </sheetData>
  <mergeCells count="54">
    <mergeCell ref="A92:H92"/>
    <mergeCell ref="A241:F241"/>
    <mergeCell ref="A171:H171"/>
    <mergeCell ref="A172:H172"/>
    <mergeCell ref="A173:H173"/>
    <mergeCell ref="A174:H174"/>
    <mergeCell ref="A175:F175"/>
    <mergeCell ref="G175:G176"/>
    <mergeCell ref="H175:H176"/>
    <mergeCell ref="A208:F208"/>
    <mergeCell ref="G208:G209"/>
    <mergeCell ref="H208:H209"/>
    <mergeCell ref="A93:H93"/>
    <mergeCell ref="A167:D167"/>
    <mergeCell ref="E167:H167"/>
    <mergeCell ref="A169:H169"/>
    <mergeCell ref="A89:H89"/>
    <mergeCell ref="A90:H90"/>
    <mergeCell ref="A91:H91"/>
    <mergeCell ref="A6:H6"/>
    <mergeCell ref="H69:H70"/>
    <mergeCell ref="A7:H7"/>
    <mergeCell ref="A8:H8"/>
    <mergeCell ref="A69:F69"/>
    <mergeCell ref="G69:G70"/>
    <mergeCell ref="H9:H10"/>
    <mergeCell ref="A88:H88"/>
    <mergeCell ref="A9:F9"/>
    <mergeCell ref="G9:G10"/>
    <mergeCell ref="A83:F83"/>
    <mergeCell ref="A38:F38"/>
    <mergeCell ref="G38:G39"/>
    <mergeCell ref="H38:H39"/>
    <mergeCell ref="A87:D87"/>
    <mergeCell ref="E87:H87"/>
    <mergeCell ref="A1:D1"/>
    <mergeCell ref="E1:H1"/>
    <mergeCell ref="A5:H5"/>
    <mergeCell ref="A3:H3"/>
    <mergeCell ref="A4:H4"/>
    <mergeCell ref="A2:H2"/>
    <mergeCell ref="A170:H170"/>
    <mergeCell ref="A168:H168"/>
    <mergeCell ref="A94:H94"/>
    <mergeCell ref="A161:F161"/>
    <mergeCell ref="A95:F95"/>
    <mergeCell ref="G95:G96"/>
    <mergeCell ref="H95:H96"/>
    <mergeCell ref="A116:F116"/>
    <mergeCell ref="G116:G117"/>
    <mergeCell ref="H116:H117"/>
    <mergeCell ref="A146:F146"/>
    <mergeCell ref="G146:G147"/>
    <mergeCell ref="H146:H147"/>
  </mergeCells>
  <phoneticPr fontId="2" type="noConversion"/>
  <printOptions horizontalCentered="1"/>
  <pageMargins left="0.62992125984251968" right="0.59055118110236227" top="0.51181102362204722" bottom="0.6692913385826772" header="0" footer="0"/>
  <pageSetup paperSize="5" scale="87" fitToHeight="0" orientation="portrait" r:id="rId1"/>
  <headerFooter scaleWithDoc="0" alignWithMargins="0">
    <oddFooter>&amp;C pagina &amp;P</oddFooter>
  </headerFooter>
  <rowBreaks count="6" manualBreakCount="6">
    <brk id="37" max="7" man="1"/>
    <brk id="68" max="7" man="1"/>
    <brk id="115" max="7" man="1"/>
    <brk id="145" max="7" man="1"/>
    <brk id="162" max="7" man="1"/>
    <brk id="207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85"/>
  <sheetViews>
    <sheetView view="pageBreakPreview" topLeftCell="A52" zoomScale="86" zoomScaleNormal="100" zoomScaleSheetLayoutView="86" workbookViewId="0">
      <selection activeCell="G58" sqref="G58"/>
    </sheetView>
  </sheetViews>
  <sheetFormatPr baseColWidth="10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0.28515625" style="24" customWidth="1"/>
    <col min="7" max="7" width="49.28515625" style="19" customWidth="1"/>
    <col min="8" max="8" width="21.28515625" style="4" customWidth="1"/>
    <col min="9" max="9" width="11.42578125" style="207"/>
    <col min="10" max="10" width="14.7109375" style="194" bestFit="1" customWidth="1"/>
    <col min="11" max="11" width="13.7109375" style="21" bestFit="1" customWidth="1"/>
    <col min="12" max="16384" width="11.42578125" style="21"/>
  </cols>
  <sheetData>
    <row r="1" spans="1:11" ht="20.25" x14ac:dyDescent="0.25">
      <c r="A1" s="560"/>
      <c r="B1" s="560"/>
      <c r="C1" s="560"/>
      <c r="D1" s="560"/>
      <c r="E1" s="560"/>
      <c r="F1" s="560"/>
      <c r="G1" s="560"/>
      <c r="H1" s="560"/>
      <c r="I1" s="206"/>
    </row>
    <row r="2" spans="1:11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620"/>
    </row>
    <row r="3" spans="1:11" ht="15.75" x14ac:dyDescent="0.25">
      <c r="A3" s="624" t="s">
        <v>216</v>
      </c>
      <c r="B3" s="557"/>
      <c r="C3" s="557"/>
      <c r="D3" s="557"/>
      <c r="E3" s="557"/>
      <c r="F3" s="557"/>
      <c r="G3" s="557"/>
      <c r="H3" s="557"/>
      <c r="K3" s="86"/>
    </row>
    <row r="4" spans="1:11" ht="15.75" x14ac:dyDescent="0.25">
      <c r="A4" s="624" t="s">
        <v>640</v>
      </c>
      <c r="B4" s="557"/>
      <c r="C4" s="557"/>
      <c r="D4" s="557"/>
      <c r="E4" s="557"/>
      <c r="F4" s="557"/>
      <c r="G4" s="557"/>
      <c r="H4" s="557"/>
      <c r="K4" s="86"/>
    </row>
    <row r="5" spans="1:11" ht="15" x14ac:dyDescent="0.2">
      <c r="A5" s="635" t="s">
        <v>11</v>
      </c>
      <c r="B5" s="636"/>
      <c r="C5" s="636"/>
      <c r="D5" s="636"/>
      <c r="E5" s="636"/>
      <c r="F5" s="636"/>
      <c r="G5" s="636"/>
      <c r="H5" s="636"/>
    </row>
    <row r="6" spans="1:11" ht="8.25" customHeight="1" x14ac:dyDescent="0.25">
      <c r="A6" s="637"/>
      <c r="B6" s="638"/>
      <c r="C6" s="638"/>
      <c r="D6" s="638"/>
      <c r="E6" s="638"/>
      <c r="F6" s="638"/>
      <c r="G6" s="638"/>
      <c r="H6" s="638"/>
    </row>
    <row r="7" spans="1:11" ht="15.75" x14ac:dyDescent="0.25">
      <c r="A7" s="647" t="s">
        <v>176</v>
      </c>
      <c r="B7" s="647"/>
      <c r="C7" s="647"/>
      <c r="D7" s="647"/>
      <c r="E7" s="647"/>
      <c r="F7" s="647"/>
      <c r="G7" s="647"/>
      <c r="H7" s="647"/>
      <c r="K7" s="86"/>
    </row>
    <row r="8" spans="1:11" ht="16.5" thickBot="1" x14ac:dyDescent="0.3">
      <c r="A8" s="648" t="s">
        <v>149</v>
      </c>
      <c r="B8" s="648"/>
      <c r="C8" s="648"/>
      <c r="D8" s="648"/>
      <c r="E8" s="648"/>
      <c r="F8" s="648"/>
      <c r="G8" s="648"/>
      <c r="H8" s="648"/>
      <c r="K8" s="86"/>
    </row>
    <row r="9" spans="1:11" ht="15.75" thickBot="1" x14ac:dyDescent="0.3">
      <c r="A9" s="649" t="s">
        <v>0</v>
      </c>
      <c r="B9" s="650"/>
      <c r="C9" s="650"/>
      <c r="D9" s="650"/>
      <c r="E9" s="650"/>
      <c r="F9" s="650"/>
      <c r="G9" s="631" t="s">
        <v>151</v>
      </c>
      <c r="H9" s="633" t="s">
        <v>152</v>
      </c>
      <c r="K9" s="86"/>
    </row>
    <row r="10" spans="1:11" s="22" customFormat="1" ht="200.25" customHeight="1" thickBot="1" x14ac:dyDescent="0.25">
      <c r="A10" s="330" t="s">
        <v>144</v>
      </c>
      <c r="B10" s="331" t="s">
        <v>145</v>
      </c>
      <c r="C10" s="331" t="s">
        <v>122</v>
      </c>
      <c r="D10" s="331" t="s">
        <v>146</v>
      </c>
      <c r="E10" s="332" t="s">
        <v>153</v>
      </c>
      <c r="F10" s="333" t="s">
        <v>99</v>
      </c>
      <c r="G10" s="632"/>
      <c r="H10" s="634"/>
      <c r="I10" s="87"/>
      <c r="J10" s="199"/>
    </row>
    <row r="11" spans="1:11" ht="15.75" customHeight="1" x14ac:dyDescent="0.2">
      <c r="A11" s="9">
        <v>3</v>
      </c>
      <c r="B11" s="10" t="s">
        <v>53</v>
      </c>
      <c r="C11" s="10" t="s">
        <v>219</v>
      </c>
      <c r="D11" s="10" t="s">
        <v>51</v>
      </c>
      <c r="E11" s="10" t="s">
        <v>54</v>
      </c>
      <c r="F11" s="11" t="s">
        <v>34</v>
      </c>
      <c r="G11" s="274" t="s">
        <v>35</v>
      </c>
      <c r="H11" s="238">
        <v>0</v>
      </c>
    </row>
    <row r="12" spans="1:11" ht="15.75" customHeight="1" x14ac:dyDescent="0.2">
      <c r="A12" s="9"/>
      <c r="B12" s="10"/>
      <c r="C12" s="10"/>
      <c r="D12" s="10"/>
      <c r="E12" s="10"/>
      <c r="F12" s="11" t="s">
        <v>543</v>
      </c>
      <c r="G12" s="12" t="s">
        <v>36</v>
      </c>
      <c r="H12" s="239"/>
    </row>
    <row r="13" spans="1:11" ht="15.75" customHeight="1" x14ac:dyDescent="0.2">
      <c r="A13" s="9" t="s">
        <v>659</v>
      </c>
      <c r="B13" s="10"/>
      <c r="C13" s="10"/>
      <c r="D13" s="10"/>
      <c r="E13" s="10"/>
      <c r="F13" s="11" t="s">
        <v>544</v>
      </c>
      <c r="G13" s="12" t="s">
        <v>534</v>
      </c>
      <c r="H13" s="239"/>
    </row>
    <row r="14" spans="1:11" ht="15.75" customHeight="1" x14ac:dyDescent="0.2">
      <c r="A14" s="9"/>
      <c r="B14" s="10"/>
      <c r="C14" s="10"/>
      <c r="D14" s="10"/>
      <c r="E14" s="10"/>
      <c r="F14" s="276" t="s">
        <v>173</v>
      </c>
      <c r="G14" s="277" t="s">
        <v>155</v>
      </c>
      <c r="H14" s="275">
        <v>34261.65</v>
      </c>
    </row>
    <row r="15" spans="1:11" ht="15.75" customHeight="1" x14ac:dyDescent="0.2">
      <c r="A15" s="9"/>
      <c r="B15" s="10"/>
      <c r="C15" s="10"/>
      <c r="D15" s="10"/>
      <c r="E15" s="10"/>
      <c r="F15" s="11" t="s">
        <v>545</v>
      </c>
      <c r="G15" s="12" t="s">
        <v>609</v>
      </c>
      <c r="H15" s="275">
        <v>0</v>
      </c>
    </row>
    <row r="16" spans="1:11" ht="15.75" customHeight="1" x14ac:dyDescent="0.2">
      <c r="A16" s="9"/>
      <c r="B16" s="10"/>
      <c r="C16" s="10"/>
      <c r="D16" s="10"/>
      <c r="E16" s="10"/>
      <c r="F16" s="11" t="s">
        <v>546</v>
      </c>
      <c r="G16" s="12" t="s">
        <v>539</v>
      </c>
      <c r="H16" s="275">
        <v>0</v>
      </c>
    </row>
    <row r="17" spans="1:10" ht="15.75" customHeight="1" x14ac:dyDescent="0.2">
      <c r="A17" s="9"/>
      <c r="B17" s="10"/>
      <c r="C17" s="10"/>
      <c r="D17" s="10"/>
      <c r="E17" s="10"/>
      <c r="F17" s="276" t="s">
        <v>562</v>
      </c>
      <c r="G17" s="277" t="s">
        <v>172</v>
      </c>
      <c r="H17" s="275">
        <v>16950</v>
      </c>
    </row>
    <row r="18" spans="1:10" ht="15.75" customHeight="1" x14ac:dyDescent="0.2">
      <c r="A18" s="278">
        <v>3</v>
      </c>
      <c r="B18" s="279" t="s">
        <v>53</v>
      </c>
      <c r="C18" s="279" t="s">
        <v>219</v>
      </c>
      <c r="D18" s="279" t="s">
        <v>51</v>
      </c>
      <c r="E18" s="279" t="s">
        <v>54</v>
      </c>
      <c r="F18" s="276" t="s">
        <v>217</v>
      </c>
      <c r="G18" s="277" t="s">
        <v>218</v>
      </c>
      <c r="H18" s="275">
        <v>0</v>
      </c>
    </row>
    <row r="19" spans="1:10" ht="15.75" customHeight="1" x14ac:dyDescent="0.2">
      <c r="A19" s="201">
        <v>3</v>
      </c>
      <c r="B19" s="202" t="s">
        <v>53</v>
      </c>
      <c r="C19" s="203" t="s">
        <v>219</v>
      </c>
      <c r="D19" s="202" t="s">
        <v>51</v>
      </c>
      <c r="E19" s="203" t="s">
        <v>54</v>
      </c>
      <c r="F19" s="204">
        <v>54101</v>
      </c>
      <c r="G19" s="205" t="s">
        <v>38</v>
      </c>
      <c r="H19" s="240">
        <v>44975</v>
      </c>
    </row>
    <row r="20" spans="1:10" ht="15.75" customHeight="1" x14ac:dyDescent="0.2">
      <c r="A20" s="8">
        <v>3</v>
      </c>
      <c r="B20" s="1" t="s">
        <v>53</v>
      </c>
      <c r="C20" s="10" t="s">
        <v>219</v>
      </c>
      <c r="D20" s="1" t="s">
        <v>51</v>
      </c>
      <c r="E20" s="10" t="s">
        <v>54</v>
      </c>
      <c r="F20" s="2">
        <v>54103</v>
      </c>
      <c r="G20" s="6" t="s">
        <v>177</v>
      </c>
      <c r="H20" s="241">
        <v>80</v>
      </c>
    </row>
    <row r="21" spans="1:10" ht="15.75" customHeight="1" x14ac:dyDescent="0.2">
      <c r="A21" s="8">
        <v>3</v>
      </c>
      <c r="B21" s="1" t="s">
        <v>53</v>
      </c>
      <c r="C21" s="10" t="s">
        <v>219</v>
      </c>
      <c r="D21" s="1" t="s">
        <v>51</v>
      </c>
      <c r="E21" s="10" t="s">
        <v>54</v>
      </c>
      <c r="F21" s="2">
        <v>54104</v>
      </c>
      <c r="G21" s="6" t="s">
        <v>156</v>
      </c>
      <c r="H21" s="240">
        <v>27373</v>
      </c>
    </row>
    <row r="22" spans="1:10" ht="15.75" customHeight="1" x14ac:dyDescent="0.2">
      <c r="A22" s="8"/>
      <c r="B22" s="1"/>
      <c r="C22" s="10"/>
      <c r="D22" s="1"/>
      <c r="E22" s="10"/>
      <c r="F22" s="2">
        <v>54105</v>
      </c>
      <c r="G22" s="6" t="s">
        <v>563</v>
      </c>
      <c r="H22" s="240">
        <v>300</v>
      </c>
    </row>
    <row r="23" spans="1:10" ht="15.75" customHeight="1" x14ac:dyDescent="0.2">
      <c r="A23" s="8">
        <v>3</v>
      </c>
      <c r="B23" s="1" t="s">
        <v>53</v>
      </c>
      <c r="C23" s="10" t="s">
        <v>219</v>
      </c>
      <c r="D23" s="1" t="s">
        <v>51</v>
      </c>
      <c r="E23" s="10" t="s">
        <v>54</v>
      </c>
      <c r="F23" s="2">
        <v>54106</v>
      </c>
      <c r="G23" s="6" t="s">
        <v>178</v>
      </c>
      <c r="H23" s="240">
        <v>10286.52</v>
      </c>
    </row>
    <row r="24" spans="1:10" ht="15.75" customHeight="1" x14ac:dyDescent="0.2">
      <c r="A24" s="8">
        <v>3</v>
      </c>
      <c r="B24" s="1" t="s">
        <v>53</v>
      </c>
      <c r="C24" s="10" t="s">
        <v>219</v>
      </c>
      <c r="D24" s="1" t="s">
        <v>51</v>
      </c>
      <c r="E24" s="10" t="s">
        <v>54</v>
      </c>
      <c r="F24" s="2">
        <v>54107</v>
      </c>
      <c r="G24" s="6" t="s">
        <v>158</v>
      </c>
      <c r="H24" s="240">
        <v>98826</v>
      </c>
    </row>
    <row r="25" spans="1:10" ht="15.75" customHeight="1" x14ac:dyDescent="0.2">
      <c r="A25" s="8"/>
      <c r="B25" s="1"/>
      <c r="C25" s="10"/>
      <c r="D25" s="1"/>
      <c r="E25" s="10"/>
      <c r="F25" s="2">
        <v>54109</v>
      </c>
      <c r="G25" s="6" t="s">
        <v>347</v>
      </c>
      <c r="H25" s="240">
        <v>24000</v>
      </c>
    </row>
    <row r="26" spans="1:10" ht="15.75" customHeight="1" x14ac:dyDescent="0.2">
      <c r="A26" s="8"/>
      <c r="B26" s="1"/>
      <c r="C26" s="10"/>
      <c r="D26" s="1"/>
      <c r="E26" s="10"/>
      <c r="F26" s="2">
        <v>54110</v>
      </c>
      <c r="G26" s="6" t="s">
        <v>40</v>
      </c>
      <c r="H26" s="240">
        <v>28420</v>
      </c>
    </row>
    <row r="27" spans="1:10" ht="15.75" customHeight="1" x14ac:dyDescent="0.2">
      <c r="A27" s="8">
        <v>3</v>
      </c>
      <c r="B27" s="1" t="s">
        <v>53</v>
      </c>
      <c r="C27" s="10" t="s">
        <v>219</v>
      </c>
      <c r="D27" s="1" t="s">
        <v>51</v>
      </c>
      <c r="E27" s="10" t="s">
        <v>54</v>
      </c>
      <c r="F27" s="2">
        <v>54111</v>
      </c>
      <c r="G27" s="6" t="s">
        <v>47</v>
      </c>
      <c r="H27" s="240">
        <v>57940</v>
      </c>
    </row>
    <row r="28" spans="1:10" ht="15.75" customHeight="1" x14ac:dyDescent="0.2">
      <c r="A28" s="8">
        <v>3</v>
      </c>
      <c r="B28" s="1" t="s">
        <v>53</v>
      </c>
      <c r="C28" s="10" t="s">
        <v>219</v>
      </c>
      <c r="D28" s="1" t="s">
        <v>51</v>
      </c>
      <c r="E28" s="10" t="s">
        <v>54</v>
      </c>
      <c r="F28" s="2">
        <v>54112</v>
      </c>
      <c r="G28" s="6" t="s">
        <v>46</v>
      </c>
      <c r="H28" s="240">
        <v>106729</v>
      </c>
    </row>
    <row r="29" spans="1:10" ht="15.75" customHeight="1" x14ac:dyDescent="0.2">
      <c r="A29" s="8"/>
      <c r="B29" s="1"/>
      <c r="C29" s="10"/>
      <c r="D29" s="1"/>
      <c r="E29" s="10"/>
      <c r="F29" s="2">
        <v>54115</v>
      </c>
      <c r="G29" s="6" t="s">
        <v>577</v>
      </c>
      <c r="H29" s="240">
        <v>0</v>
      </c>
    </row>
    <row r="30" spans="1:10" ht="15.75" customHeight="1" x14ac:dyDescent="0.2">
      <c r="A30" s="8">
        <v>3</v>
      </c>
      <c r="B30" s="1" t="s">
        <v>53</v>
      </c>
      <c r="C30" s="10" t="s">
        <v>219</v>
      </c>
      <c r="D30" s="1" t="s">
        <v>51</v>
      </c>
      <c r="E30" s="10" t="s">
        <v>54</v>
      </c>
      <c r="F30" s="2">
        <v>54118</v>
      </c>
      <c r="G30" s="6" t="s">
        <v>361</v>
      </c>
      <c r="H30" s="240">
        <v>65694</v>
      </c>
    </row>
    <row r="31" spans="1:10" ht="15.75" customHeight="1" x14ac:dyDescent="0.2">
      <c r="A31" s="8">
        <v>3</v>
      </c>
      <c r="B31" s="1" t="s">
        <v>53</v>
      </c>
      <c r="C31" s="10" t="s">
        <v>219</v>
      </c>
      <c r="D31" s="1" t="s">
        <v>51</v>
      </c>
      <c r="E31" s="10" t="s">
        <v>54</v>
      </c>
      <c r="F31" s="2">
        <v>54119</v>
      </c>
      <c r="G31" s="6" t="s">
        <v>89</v>
      </c>
      <c r="H31" s="240">
        <v>14100</v>
      </c>
      <c r="J31" s="200"/>
    </row>
    <row r="32" spans="1:10" ht="15.75" customHeight="1" x14ac:dyDescent="0.2">
      <c r="A32" s="8">
        <v>3</v>
      </c>
      <c r="B32" s="1" t="s">
        <v>53</v>
      </c>
      <c r="C32" s="10" t="s">
        <v>219</v>
      </c>
      <c r="D32" s="1" t="s">
        <v>51</v>
      </c>
      <c r="E32" s="10" t="s">
        <v>54</v>
      </c>
      <c r="F32" s="2">
        <v>54199</v>
      </c>
      <c r="G32" s="6" t="s">
        <v>98</v>
      </c>
      <c r="H32" s="240">
        <v>25655</v>
      </c>
    </row>
    <row r="33" spans="1:8" ht="15.75" customHeight="1" x14ac:dyDescent="0.2">
      <c r="A33" s="8">
        <v>3</v>
      </c>
      <c r="B33" s="1" t="s">
        <v>53</v>
      </c>
      <c r="C33" s="10" t="s">
        <v>219</v>
      </c>
      <c r="D33" s="1" t="s">
        <v>51</v>
      </c>
      <c r="E33" s="10" t="s">
        <v>54</v>
      </c>
      <c r="F33" s="2">
        <v>54301</v>
      </c>
      <c r="G33" s="6" t="s">
        <v>45</v>
      </c>
      <c r="H33" s="240">
        <v>0</v>
      </c>
    </row>
    <row r="34" spans="1:8" ht="15.75" customHeight="1" x14ac:dyDescent="0.2">
      <c r="A34" s="8">
        <v>3</v>
      </c>
      <c r="B34" s="1" t="s">
        <v>53</v>
      </c>
      <c r="C34" s="10" t="s">
        <v>219</v>
      </c>
      <c r="D34" s="1" t="s">
        <v>51</v>
      </c>
      <c r="E34" s="10" t="s">
        <v>54</v>
      </c>
      <c r="F34" s="2">
        <v>54302</v>
      </c>
      <c r="G34" s="6" t="s">
        <v>48</v>
      </c>
      <c r="H34" s="240">
        <v>0</v>
      </c>
    </row>
    <row r="35" spans="1:8" ht="15.75" customHeight="1" x14ac:dyDescent="0.2">
      <c r="A35" s="8"/>
      <c r="B35" s="1"/>
      <c r="C35" s="10"/>
      <c r="D35" s="1"/>
      <c r="E35" s="10"/>
      <c r="F35" s="2">
        <v>54303</v>
      </c>
      <c r="G35" s="6" t="s">
        <v>348</v>
      </c>
      <c r="H35" s="240">
        <v>0</v>
      </c>
    </row>
    <row r="36" spans="1:8" ht="15.75" customHeight="1" x14ac:dyDescent="0.2">
      <c r="A36" s="8">
        <v>3</v>
      </c>
      <c r="B36" s="1" t="s">
        <v>53</v>
      </c>
      <c r="C36" s="10" t="s">
        <v>219</v>
      </c>
      <c r="D36" s="1" t="s">
        <v>51</v>
      </c>
      <c r="E36" s="10" t="s">
        <v>54</v>
      </c>
      <c r="F36" s="2">
        <v>54304</v>
      </c>
      <c r="G36" s="6" t="s">
        <v>85</v>
      </c>
      <c r="H36" s="240">
        <v>7440</v>
      </c>
    </row>
    <row r="37" spans="1:8" ht="15.75" customHeight="1" x14ac:dyDescent="0.2">
      <c r="A37" s="8">
        <v>3</v>
      </c>
      <c r="B37" s="1" t="s">
        <v>53</v>
      </c>
      <c r="C37" s="10" t="s">
        <v>219</v>
      </c>
      <c r="D37" s="1" t="s">
        <v>51</v>
      </c>
      <c r="E37" s="10" t="s">
        <v>54</v>
      </c>
      <c r="F37" s="2">
        <v>54305</v>
      </c>
      <c r="G37" s="6" t="s">
        <v>179</v>
      </c>
      <c r="H37" s="240">
        <v>1723.85</v>
      </c>
    </row>
    <row r="38" spans="1:8" ht="15.75" customHeight="1" x14ac:dyDescent="0.2">
      <c r="A38" s="8">
        <v>3</v>
      </c>
      <c r="B38" s="1" t="s">
        <v>53</v>
      </c>
      <c r="C38" s="10" t="s">
        <v>219</v>
      </c>
      <c r="D38" s="1" t="s">
        <v>51</v>
      </c>
      <c r="E38" s="10" t="s">
        <v>54</v>
      </c>
      <c r="F38" s="2">
        <v>54307</v>
      </c>
      <c r="G38" s="6" t="s">
        <v>226</v>
      </c>
      <c r="H38" s="240">
        <v>0</v>
      </c>
    </row>
    <row r="39" spans="1:8" ht="15.75" customHeight="1" x14ac:dyDescent="0.2">
      <c r="A39" s="8"/>
      <c r="B39" s="1"/>
      <c r="C39" s="10"/>
      <c r="D39" s="1"/>
      <c r="E39" s="10"/>
      <c r="F39" s="2">
        <v>54310</v>
      </c>
      <c r="G39" s="6" t="s">
        <v>362</v>
      </c>
      <c r="H39" s="240">
        <v>0</v>
      </c>
    </row>
    <row r="40" spans="1:8" ht="15.75" customHeight="1" x14ac:dyDescent="0.2">
      <c r="A40" s="8">
        <v>3</v>
      </c>
      <c r="B40" s="1" t="s">
        <v>53</v>
      </c>
      <c r="C40" s="10" t="s">
        <v>219</v>
      </c>
      <c r="D40" s="1" t="s">
        <v>51</v>
      </c>
      <c r="E40" s="10" t="s">
        <v>54</v>
      </c>
      <c r="F40" s="2">
        <v>54313</v>
      </c>
      <c r="G40" s="6" t="s">
        <v>180</v>
      </c>
      <c r="H40" s="240">
        <v>0</v>
      </c>
    </row>
    <row r="41" spans="1:8" ht="15.75" customHeight="1" x14ac:dyDescent="0.2">
      <c r="A41" s="8">
        <v>3</v>
      </c>
      <c r="B41" s="1" t="s">
        <v>53</v>
      </c>
      <c r="C41" s="10" t="s">
        <v>219</v>
      </c>
      <c r="D41" s="1" t="s">
        <v>51</v>
      </c>
      <c r="E41" s="10" t="s">
        <v>54</v>
      </c>
      <c r="F41" s="2">
        <v>54314</v>
      </c>
      <c r="G41" s="6" t="s">
        <v>79</v>
      </c>
      <c r="H41" s="240">
        <v>75583.02</v>
      </c>
    </row>
    <row r="42" spans="1:8" ht="15.75" customHeight="1" x14ac:dyDescent="0.2">
      <c r="A42" s="8">
        <v>3</v>
      </c>
      <c r="B42" s="1" t="s">
        <v>53</v>
      </c>
      <c r="C42" s="10" t="s">
        <v>219</v>
      </c>
      <c r="D42" s="1" t="s">
        <v>51</v>
      </c>
      <c r="E42" s="10" t="s">
        <v>54</v>
      </c>
      <c r="F42" s="2">
        <v>54316</v>
      </c>
      <c r="G42" s="6" t="s">
        <v>181</v>
      </c>
      <c r="H42" s="240">
        <v>4001.65</v>
      </c>
    </row>
    <row r="43" spans="1:8" ht="15.75" customHeight="1" x14ac:dyDescent="0.2">
      <c r="A43" s="8">
        <v>3</v>
      </c>
      <c r="B43" s="1" t="s">
        <v>53</v>
      </c>
      <c r="C43" s="10" t="s">
        <v>219</v>
      </c>
      <c r="D43" s="1" t="s">
        <v>51</v>
      </c>
      <c r="E43" s="10" t="s">
        <v>54</v>
      </c>
      <c r="F43" s="2">
        <v>54399</v>
      </c>
      <c r="G43" s="6" t="s">
        <v>182</v>
      </c>
      <c r="H43" s="240">
        <v>43180</v>
      </c>
    </row>
    <row r="44" spans="1:8" ht="15.75" customHeight="1" x14ac:dyDescent="0.2">
      <c r="A44" s="8">
        <v>3</v>
      </c>
      <c r="B44" s="1" t="s">
        <v>53</v>
      </c>
      <c r="C44" s="10" t="s">
        <v>219</v>
      </c>
      <c r="D44" s="1" t="s">
        <v>51</v>
      </c>
      <c r="E44" s="10" t="s">
        <v>54</v>
      </c>
      <c r="F44" s="2">
        <v>54399</v>
      </c>
      <c r="G44" s="6" t="s">
        <v>80</v>
      </c>
      <c r="H44" s="240">
        <v>0</v>
      </c>
    </row>
    <row r="45" spans="1:8" ht="15.75" customHeight="1" x14ac:dyDescent="0.2">
      <c r="A45" s="8"/>
      <c r="B45" s="1"/>
      <c r="C45" s="10"/>
      <c r="D45" s="1"/>
      <c r="E45" s="10"/>
      <c r="F45" s="2">
        <v>54502</v>
      </c>
      <c r="G45" s="6" t="s">
        <v>349</v>
      </c>
      <c r="H45" s="240"/>
    </row>
    <row r="46" spans="1:8" ht="15.75" customHeight="1" x14ac:dyDescent="0.2">
      <c r="A46" s="8">
        <v>3</v>
      </c>
      <c r="B46" s="1" t="s">
        <v>53</v>
      </c>
      <c r="C46" s="10" t="s">
        <v>219</v>
      </c>
      <c r="D46" s="1" t="s">
        <v>51</v>
      </c>
      <c r="E46" s="10" t="s">
        <v>54</v>
      </c>
      <c r="F46" s="2">
        <v>54505</v>
      </c>
      <c r="G46" s="6" t="s">
        <v>183</v>
      </c>
      <c r="H46" s="240"/>
    </row>
    <row r="47" spans="1:8" ht="15.75" customHeight="1" x14ac:dyDescent="0.2">
      <c r="A47" s="8">
        <v>3</v>
      </c>
      <c r="B47" s="1" t="s">
        <v>53</v>
      </c>
      <c r="C47" s="10" t="s">
        <v>219</v>
      </c>
      <c r="D47" s="1" t="s">
        <v>51</v>
      </c>
      <c r="E47" s="10" t="s">
        <v>54</v>
      </c>
      <c r="F47" s="2">
        <v>54508</v>
      </c>
      <c r="G47" s="6" t="s">
        <v>184</v>
      </c>
      <c r="H47" s="240"/>
    </row>
    <row r="48" spans="1:8" ht="15.75" customHeight="1" x14ac:dyDescent="0.2">
      <c r="A48" s="8">
        <v>3</v>
      </c>
      <c r="B48" s="1" t="s">
        <v>53</v>
      </c>
      <c r="C48" s="10" t="s">
        <v>219</v>
      </c>
      <c r="D48" s="1" t="s">
        <v>51</v>
      </c>
      <c r="E48" s="10" t="s">
        <v>54</v>
      </c>
      <c r="F48" s="2">
        <v>54599</v>
      </c>
      <c r="G48" s="6" t="s">
        <v>185</v>
      </c>
      <c r="H48" s="240"/>
    </row>
    <row r="49" spans="1:8" ht="15.75" customHeight="1" x14ac:dyDescent="0.2">
      <c r="A49" s="8">
        <v>3</v>
      </c>
      <c r="B49" s="1" t="s">
        <v>53</v>
      </c>
      <c r="C49" s="10" t="s">
        <v>219</v>
      </c>
      <c r="D49" s="1" t="s">
        <v>51</v>
      </c>
      <c r="E49" s="10" t="s">
        <v>54</v>
      </c>
      <c r="F49" s="2">
        <v>54602</v>
      </c>
      <c r="G49" s="6" t="s">
        <v>186</v>
      </c>
      <c r="H49" s="240"/>
    </row>
    <row r="50" spans="1:8" ht="15.75" customHeight="1" x14ac:dyDescent="0.2">
      <c r="A50" s="8"/>
      <c r="B50" s="1"/>
      <c r="C50" s="10"/>
      <c r="D50" s="1"/>
      <c r="E50" s="10"/>
      <c r="F50" s="2">
        <v>54603</v>
      </c>
      <c r="G50" s="6" t="s">
        <v>310</v>
      </c>
      <c r="H50" s="240"/>
    </row>
    <row r="51" spans="1:8" ht="15.75" customHeight="1" x14ac:dyDescent="0.2">
      <c r="A51" s="8"/>
      <c r="B51" s="1"/>
      <c r="C51" s="10"/>
      <c r="D51" s="1"/>
      <c r="E51" s="10"/>
      <c r="F51" s="2">
        <v>54699</v>
      </c>
      <c r="G51" s="6" t="s">
        <v>27</v>
      </c>
      <c r="H51" s="240">
        <v>0</v>
      </c>
    </row>
    <row r="52" spans="1:8" ht="15.75" customHeight="1" x14ac:dyDescent="0.2">
      <c r="A52" s="8">
        <v>3</v>
      </c>
      <c r="B52" s="1" t="s">
        <v>53</v>
      </c>
      <c r="C52" s="10" t="s">
        <v>219</v>
      </c>
      <c r="D52" s="1" t="s">
        <v>51</v>
      </c>
      <c r="E52" s="10" t="s">
        <v>54</v>
      </c>
      <c r="F52" s="2">
        <v>55601</v>
      </c>
      <c r="G52" s="6" t="s">
        <v>93</v>
      </c>
      <c r="H52" s="240"/>
    </row>
    <row r="53" spans="1:8" ht="15.75" customHeight="1" x14ac:dyDescent="0.2">
      <c r="A53" s="8">
        <v>3</v>
      </c>
      <c r="B53" s="1" t="s">
        <v>53</v>
      </c>
      <c r="C53" s="10" t="s">
        <v>219</v>
      </c>
      <c r="D53" s="1" t="s">
        <v>51</v>
      </c>
      <c r="E53" s="10" t="s">
        <v>54</v>
      </c>
      <c r="F53" s="2">
        <v>55603</v>
      </c>
      <c r="G53" s="6" t="s">
        <v>168</v>
      </c>
      <c r="H53" s="240">
        <v>250</v>
      </c>
    </row>
    <row r="54" spans="1:8" ht="15.75" customHeight="1" x14ac:dyDescent="0.2">
      <c r="A54" s="8"/>
      <c r="B54" s="1"/>
      <c r="C54" s="10"/>
      <c r="D54" s="1"/>
      <c r="E54" s="10"/>
      <c r="F54" s="2">
        <v>56303</v>
      </c>
      <c r="G54" s="6" t="s">
        <v>240</v>
      </c>
      <c r="H54" s="240">
        <v>2000</v>
      </c>
    </row>
    <row r="55" spans="1:8" ht="15.75" customHeight="1" x14ac:dyDescent="0.2">
      <c r="A55" s="8"/>
      <c r="B55" s="1"/>
      <c r="C55" s="10"/>
      <c r="D55" s="1"/>
      <c r="E55" s="10"/>
      <c r="F55" s="2">
        <v>56305</v>
      </c>
      <c r="G55" s="6" t="s">
        <v>564</v>
      </c>
      <c r="H55" s="240">
        <v>16000</v>
      </c>
    </row>
    <row r="56" spans="1:8" ht="15.75" customHeight="1" x14ac:dyDescent="0.2">
      <c r="A56" s="8">
        <v>3</v>
      </c>
      <c r="B56" s="1" t="s">
        <v>53</v>
      </c>
      <c r="C56" s="10" t="s">
        <v>219</v>
      </c>
      <c r="D56" s="1" t="s">
        <v>51</v>
      </c>
      <c r="E56" s="10" t="s">
        <v>54</v>
      </c>
      <c r="F56" s="2">
        <v>61101</v>
      </c>
      <c r="G56" s="6" t="s">
        <v>171</v>
      </c>
      <c r="H56" s="240"/>
    </row>
    <row r="57" spans="1:8" ht="15.75" customHeight="1" x14ac:dyDescent="0.2">
      <c r="A57" s="8">
        <v>3</v>
      </c>
      <c r="B57" s="1" t="s">
        <v>53</v>
      </c>
      <c r="C57" s="10" t="s">
        <v>219</v>
      </c>
      <c r="D57" s="1" t="s">
        <v>51</v>
      </c>
      <c r="E57" s="10" t="s">
        <v>54</v>
      </c>
      <c r="F57" s="2">
        <v>61102</v>
      </c>
      <c r="G57" s="6" t="s">
        <v>188</v>
      </c>
      <c r="H57" s="240"/>
    </row>
    <row r="58" spans="1:8" ht="15.75" customHeight="1" x14ac:dyDescent="0.2">
      <c r="A58" s="8"/>
      <c r="B58" s="1"/>
      <c r="C58" s="10"/>
      <c r="D58" s="1"/>
      <c r="E58" s="10"/>
      <c r="F58" s="2">
        <v>61104</v>
      </c>
      <c r="G58" s="6" t="s">
        <v>346</v>
      </c>
      <c r="H58" s="240"/>
    </row>
    <row r="59" spans="1:8" ht="15.75" customHeight="1" x14ac:dyDescent="0.2">
      <c r="A59" s="8"/>
      <c r="B59" s="1"/>
      <c r="C59" s="10"/>
      <c r="D59" s="1"/>
      <c r="E59" s="10"/>
      <c r="F59" s="2">
        <v>61105</v>
      </c>
      <c r="G59" s="6" t="s">
        <v>565</v>
      </c>
      <c r="H59" s="240">
        <v>23010</v>
      </c>
    </row>
    <row r="60" spans="1:8" ht="15.75" customHeight="1" x14ac:dyDescent="0.2">
      <c r="A60" s="8"/>
      <c r="B60" s="1"/>
      <c r="C60" s="10"/>
      <c r="D60" s="1"/>
      <c r="E60" s="10"/>
      <c r="F60" s="2">
        <v>61108</v>
      </c>
      <c r="G60" s="6" t="s">
        <v>566</v>
      </c>
      <c r="H60" s="240">
        <v>500</v>
      </c>
    </row>
    <row r="61" spans="1:8" ht="15.75" customHeight="1" x14ac:dyDescent="0.2">
      <c r="A61" s="8"/>
      <c r="B61" s="1"/>
      <c r="C61" s="10"/>
      <c r="D61" s="1"/>
      <c r="E61" s="10"/>
      <c r="F61" s="2">
        <v>61109</v>
      </c>
      <c r="G61" s="6" t="s">
        <v>567</v>
      </c>
      <c r="H61" s="240">
        <v>400</v>
      </c>
    </row>
    <row r="62" spans="1:8" ht="15.75" customHeight="1" x14ac:dyDescent="0.2">
      <c r="A62" s="8"/>
      <c r="B62" s="1"/>
      <c r="C62" s="10"/>
      <c r="D62" s="1"/>
      <c r="E62" s="10"/>
      <c r="F62" s="2">
        <v>61199</v>
      </c>
      <c r="G62" s="6" t="s">
        <v>170</v>
      </c>
      <c r="H62" s="240">
        <v>3190</v>
      </c>
    </row>
    <row r="63" spans="1:8" ht="15.75" customHeight="1" x14ac:dyDescent="0.2">
      <c r="A63" s="8">
        <v>3</v>
      </c>
      <c r="B63" s="1" t="s">
        <v>53</v>
      </c>
      <c r="C63" s="10" t="s">
        <v>219</v>
      </c>
      <c r="D63" s="1" t="s">
        <v>51</v>
      </c>
      <c r="E63" s="10" t="s">
        <v>54</v>
      </c>
      <c r="F63" s="2">
        <v>61501</v>
      </c>
      <c r="G63" s="523" t="s">
        <v>244</v>
      </c>
      <c r="H63" s="240"/>
    </row>
    <row r="64" spans="1:8" ht="15.75" customHeight="1" x14ac:dyDescent="0.2">
      <c r="A64" s="8">
        <v>3</v>
      </c>
      <c r="B64" s="1" t="s">
        <v>53</v>
      </c>
      <c r="C64" s="10" t="s">
        <v>219</v>
      </c>
      <c r="D64" s="1" t="s">
        <v>51</v>
      </c>
      <c r="E64" s="10" t="s">
        <v>54</v>
      </c>
      <c r="F64" s="2">
        <v>61502</v>
      </c>
      <c r="G64" s="6" t="s">
        <v>245</v>
      </c>
      <c r="H64" s="240"/>
    </row>
    <row r="65" spans="1:11" ht="15.75" customHeight="1" x14ac:dyDescent="0.2">
      <c r="A65" s="8">
        <v>3</v>
      </c>
      <c r="B65" s="1" t="s">
        <v>53</v>
      </c>
      <c r="C65" s="10" t="s">
        <v>219</v>
      </c>
      <c r="D65" s="1" t="s">
        <v>51</v>
      </c>
      <c r="E65" s="10" t="s">
        <v>54</v>
      </c>
      <c r="F65" s="2">
        <v>61503</v>
      </c>
      <c r="G65" s="6" t="s">
        <v>246</v>
      </c>
      <c r="H65" s="240"/>
    </row>
    <row r="66" spans="1:11" ht="15.75" customHeight="1" x14ac:dyDescent="0.2">
      <c r="A66" s="8">
        <v>3</v>
      </c>
      <c r="B66" s="1" t="s">
        <v>53</v>
      </c>
      <c r="C66" s="10" t="s">
        <v>219</v>
      </c>
      <c r="D66" s="1" t="s">
        <v>51</v>
      </c>
      <c r="E66" s="10" t="s">
        <v>54</v>
      </c>
      <c r="F66" s="2">
        <v>61599</v>
      </c>
      <c r="G66" s="6" t="s">
        <v>189</v>
      </c>
      <c r="H66" s="240">
        <v>50000</v>
      </c>
    </row>
    <row r="67" spans="1:11" ht="15.75" customHeight="1" x14ac:dyDescent="0.2">
      <c r="A67" s="8">
        <v>3</v>
      </c>
      <c r="B67" s="1" t="s">
        <v>53</v>
      </c>
      <c r="C67" s="10" t="s">
        <v>219</v>
      </c>
      <c r="D67" s="1" t="s">
        <v>51</v>
      </c>
      <c r="E67" s="10" t="s">
        <v>54</v>
      </c>
      <c r="F67" s="2">
        <v>61601</v>
      </c>
      <c r="G67" s="6" t="s">
        <v>190</v>
      </c>
      <c r="H67" s="240">
        <v>916473.33</v>
      </c>
    </row>
    <row r="68" spans="1:11" ht="15.75" customHeight="1" x14ac:dyDescent="0.2">
      <c r="A68" s="8">
        <v>3</v>
      </c>
      <c r="B68" s="1" t="s">
        <v>53</v>
      </c>
      <c r="C68" s="10" t="s">
        <v>219</v>
      </c>
      <c r="D68" s="1" t="s">
        <v>51</v>
      </c>
      <c r="E68" s="10" t="s">
        <v>54</v>
      </c>
      <c r="F68" s="2">
        <v>61602</v>
      </c>
      <c r="G68" s="6" t="s">
        <v>247</v>
      </c>
      <c r="H68" s="240">
        <v>458360.65</v>
      </c>
    </row>
    <row r="69" spans="1:11" ht="15.75" customHeight="1" x14ac:dyDescent="0.2">
      <c r="A69" s="8">
        <v>3</v>
      </c>
      <c r="B69" s="1" t="s">
        <v>53</v>
      </c>
      <c r="C69" s="10" t="s">
        <v>219</v>
      </c>
      <c r="D69" s="1" t="s">
        <v>51</v>
      </c>
      <c r="E69" s="10" t="s">
        <v>54</v>
      </c>
      <c r="F69" s="2">
        <v>61603</v>
      </c>
      <c r="G69" s="6" t="s">
        <v>248</v>
      </c>
      <c r="H69" s="240">
        <v>0</v>
      </c>
    </row>
    <row r="70" spans="1:11" ht="15.75" customHeight="1" x14ac:dyDescent="0.2">
      <c r="A70" s="8">
        <v>3</v>
      </c>
      <c r="B70" s="1" t="s">
        <v>53</v>
      </c>
      <c r="C70" s="10" t="s">
        <v>219</v>
      </c>
      <c r="D70" s="1" t="s">
        <v>51</v>
      </c>
      <c r="E70" s="10" t="s">
        <v>54</v>
      </c>
      <c r="F70" s="2">
        <v>61604</v>
      </c>
      <c r="G70" s="6" t="s">
        <v>249</v>
      </c>
      <c r="H70" s="240"/>
    </row>
    <row r="71" spans="1:11" ht="15.75" customHeight="1" x14ac:dyDescent="0.2">
      <c r="A71" s="8">
        <v>3</v>
      </c>
      <c r="B71" s="1" t="s">
        <v>53</v>
      </c>
      <c r="C71" s="10" t="s">
        <v>219</v>
      </c>
      <c r="D71" s="1" t="s">
        <v>51</v>
      </c>
      <c r="E71" s="10" t="s">
        <v>54</v>
      </c>
      <c r="F71" s="2">
        <v>61606</v>
      </c>
      <c r="G71" s="6" t="s">
        <v>250</v>
      </c>
      <c r="H71" s="240"/>
    </row>
    <row r="72" spans="1:11" ht="15.75" customHeight="1" x14ac:dyDescent="0.2">
      <c r="A72" s="8"/>
      <c r="B72" s="1"/>
      <c r="C72" s="10"/>
      <c r="D72" s="1"/>
      <c r="E72" s="10"/>
      <c r="F72" s="2">
        <v>61607</v>
      </c>
      <c r="G72" s="6" t="s">
        <v>191</v>
      </c>
      <c r="H72" s="240"/>
    </row>
    <row r="73" spans="1:11" ht="15.75" customHeight="1" x14ac:dyDescent="0.2">
      <c r="A73" s="8">
        <v>3</v>
      </c>
      <c r="B73" s="1" t="s">
        <v>53</v>
      </c>
      <c r="C73" s="10" t="s">
        <v>219</v>
      </c>
      <c r="D73" s="1" t="s">
        <v>51</v>
      </c>
      <c r="E73" s="10" t="s">
        <v>54</v>
      </c>
      <c r="F73" s="2">
        <v>61608</v>
      </c>
      <c r="G73" s="6" t="s">
        <v>192</v>
      </c>
      <c r="H73" s="240">
        <v>0</v>
      </c>
    </row>
    <row r="74" spans="1:11" ht="15.75" customHeight="1" x14ac:dyDescent="0.2">
      <c r="A74" s="8"/>
      <c r="B74" s="1"/>
      <c r="C74" s="10"/>
      <c r="D74" s="1"/>
      <c r="E74" s="10"/>
      <c r="F74" s="2">
        <v>61609</v>
      </c>
      <c r="G74" s="6" t="s">
        <v>567</v>
      </c>
      <c r="H74" s="240">
        <v>0</v>
      </c>
    </row>
    <row r="75" spans="1:11" ht="15.75" customHeight="1" x14ac:dyDescent="0.2">
      <c r="A75" s="8">
        <v>3</v>
      </c>
      <c r="B75" s="1" t="s">
        <v>53</v>
      </c>
      <c r="C75" s="10" t="s">
        <v>219</v>
      </c>
      <c r="D75" s="1" t="s">
        <v>51</v>
      </c>
      <c r="E75" s="10" t="s">
        <v>54</v>
      </c>
      <c r="F75" s="2">
        <v>61699</v>
      </c>
      <c r="G75" s="6" t="s">
        <v>193</v>
      </c>
      <c r="H75" s="240">
        <v>15990</v>
      </c>
    </row>
    <row r="76" spans="1:11" ht="15.75" customHeight="1" x14ac:dyDescent="0.2">
      <c r="A76" s="18"/>
      <c r="B76" s="16"/>
      <c r="C76" s="1"/>
      <c r="D76" s="16"/>
      <c r="E76" s="282"/>
      <c r="F76" s="228">
        <v>61201</v>
      </c>
      <c r="G76" s="7" t="s">
        <v>363</v>
      </c>
      <c r="H76" s="242">
        <v>0</v>
      </c>
    </row>
    <row r="77" spans="1:11" ht="15.75" customHeight="1" thickBot="1" x14ac:dyDescent="0.25">
      <c r="A77" s="18"/>
      <c r="B77" s="16"/>
      <c r="C77" s="227"/>
      <c r="D77" s="16"/>
      <c r="E77" s="227"/>
      <c r="F77" s="228">
        <v>72101</v>
      </c>
      <c r="G77" s="7" t="s">
        <v>610</v>
      </c>
      <c r="H77" s="242">
        <v>1113642.5</v>
      </c>
    </row>
    <row r="78" spans="1:11" ht="27.75" customHeight="1" thickBot="1" x14ac:dyDescent="0.35">
      <c r="A78" s="643"/>
      <c r="B78" s="644"/>
      <c r="C78" s="644"/>
      <c r="D78" s="644"/>
      <c r="E78" s="644"/>
      <c r="F78" s="645"/>
      <c r="G78" s="336" t="s">
        <v>194</v>
      </c>
      <c r="H78" s="337">
        <f>SUM(H11:H77)</f>
        <v>3287335.17</v>
      </c>
      <c r="J78" s="198"/>
      <c r="K78" s="86"/>
    </row>
    <row r="79" spans="1:11" x14ac:dyDescent="0.2">
      <c r="A79" s="23"/>
      <c r="B79" s="23"/>
      <c r="C79" s="23"/>
      <c r="D79" s="23"/>
      <c r="E79" s="23"/>
      <c r="F79" s="23"/>
      <c r="H79" s="38"/>
      <c r="K79" s="195"/>
    </row>
    <row r="80" spans="1:11" ht="15.75" x14ac:dyDescent="0.25">
      <c r="A80" s="34"/>
      <c r="B80" s="34"/>
      <c r="C80" s="34"/>
      <c r="D80" s="34"/>
      <c r="E80" s="34"/>
      <c r="F80" s="34"/>
      <c r="G80" s="39"/>
      <c r="H80" s="208">
        <f>+H78-H12-H13</f>
        <v>3287335.17</v>
      </c>
      <c r="K80" s="195"/>
    </row>
    <row r="81" spans="1:11" ht="19.5" customHeight="1" x14ac:dyDescent="0.2">
      <c r="A81" s="651" t="s">
        <v>12</v>
      </c>
      <c r="B81" s="651"/>
      <c r="C81" s="651"/>
      <c r="D81" s="651"/>
      <c r="E81" s="651"/>
      <c r="F81" s="651"/>
      <c r="H81" s="209">
        <f>+H78-H80</f>
        <v>0</v>
      </c>
      <c r="K81" s="229"/>
    </row>
    <row r="82" spans="1:11" x14ac:dyDescent="0.2">
      <c r="A82" s="646" t="s">
        <v>2</v>
      </c>
      <c r="B82" s="646"/>
      <c r="C82" s="646"/>
      <c r="D82" s="646"/>
      <c r="E82" s="646"/>
      <c r="F82" s="646"/>
      <c r="G82" s="646"/>
    </row>
    <row r="83" spans="1:11" x14ac:dyDescent="0.2">
      <c r="A83" s="646" t="s">
        <v>8</v>
      </c>
      <c r="B83" s="646"/>
      <c r="C83" s="646"/>
      <c r="D83" s="646"/>
      <c r="E83" s="646"/>
      <c r="F83" s="646"/>
      <c r="G83" s="646"/>
      <c r="H83" s="89"/>
    </row>
    <row r="84" spans="1:11" x14ac:dyDescent="0.2">
      <c r="A84" s="646" t="s">
        <v>9</v>
      </c>
      <c r="B84" s="646"/>
      <c r="C84" s="646"/>
      <c r="D84" s="646"/>
      <c r="E84" s="646"/>
      <c r="F84" s="646"/>
      <c r="G84" s="646"/>
    </row>
    <row r="85" spans="1:11" x14ac:dyDescent="0.2">
      <c r="A85" s="646"/>
      <c r="B85" s="646"/>
      <c r="C85" s="646"/>
      <c r="D85" s="646"/>
      <c r="E85" s="646"/>
      <c r="F85" s="646"/>
      <c r="G85" s="646"/>
    </row>
  </sheetData>
  <mergeCells count="18">
    <mergeCell ref="A82:G82"/>
    <mergeCell ref="A83:G83"/>
    <mergeCell ref="A84:G84"/>
    <mergeCell ref="A85:G85"/>
    <mergeCell ref="A7:H7"/>
    <mergeCell ref="A8:H8"/>
    <mergeCell ref="A9:F9"/>
    <mergeCell ref="G9:G10"/>
    <mergeCell ref="H9:H10"/>
    <mergeCell ref="A81:F81"/>
    <mergeCell ref="A1:D1"/>
    <mergeCell ref="E1:H1"/>
    <mergeCell ref="A78:F78"/>
    <mergeCell ref="A6:H6"/>
    <mergeCell ref="A3:H3"/>
    <mergeCell ref="A4:H4"/>
    <mergeCell ref="A5:H5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fitToHeight="0" orientation="portrait" r:id="rId1"/>
  <rowBreaks count="1" manualBreakCount="1">
    <brk id="4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topLeftCell="A7" zoomScaleNormal="100" zoomScaleSheetLayoutView="98" workbookViewId="0">
      <selection activeCell="K5" sqref="K5"/>
    </sheetView>
  </sheetViews>
  <sheetFormatPr baseColWidth="10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2.5703125" style="24" customWidth="1"/>
    <col min="7" max="7" width="49.28515625" style="19" customWidth="1"/>
    <col min="8" max="8" width="19.28515625" style="4" customWidth="1"/>
    <col min="9" max="10" width="11.42578125" style="21"/>
    <col min="11" max="11" width="13.140625" style="21" bestFit="1" customWidth="1"/>
    <col min="12" max="16384" width="11.42578125" style="21"/>
  </cols>
  <sheetData>
    <row r="1" spans="1:11" ht="20.25" x14ac:dyDescent="0.25">
      <c r="A1" s="560"/>
      <c r="B1" s="560"/>
      <c r="C1" s="560"/>
      <c r="D1" s="560"/>
      <c r="E1" s="560"/>
      <c r="F1" s="560"/>
      <c r="G1" s="560"/>
      <c r="H1" s="560"/>
      <c r="I1" s="5"/>
    </row>
    <row r="2" spans="1:11" ht="18" x14ac:dyDescent="0.2">
      <c r="A2" s="620" t="s">
        <v>372</v>
      </c>
      <c r="B2" s="620"/>
      <c r="C2" s="620"/>
      <c r="D2" s="620"/>
      <c r="E2" s="620"/>
      <c r="F2" s="620"/>
      <c r="G2" s="620"/>
      <c r="H2" s="620"/>
      <c r="I2" s="620"/>
    </row>
    <row r="3" spans="1:11" ht="15.75" x14ac:dyDescent="0.25">
      <c r="A3" s="624" t="s">
        <v>216</v>
      </c>
      <c r="B3" s="557"/>
      <c r="C3" s="557"/>
      <c r="D3" s="557"/>
      <c r="E3" s="557"/>
      <c r="F3" s="557"/>
      <c r="G3" s="557"/>
      <c r="H3" s="557"/>
      <c r="K3" s="86"/>
    </row>
    <row r="4" spans="1:11" ht="15.75" x14ac:dyDescent="0.25">
      <c r="A4" s="624" t="s">
        <v>374</v>
      </c>
      <c r="B4" s="557"/>
      <c r="C4" s="557"/>
      <c r="D4" s="557"/>
      <c r="E4" s="557"/>
      <c r="F4" s="557"/>
      <c r="G4" s="557"/>
      <c r="H4" s="557"/>
      <c r="K4" s="86"/>
    </row>
    <row r="5" spans="1:11" ht="15" x14ac:dyDescent="0.2">
      <c r="A5" s="635" t="s">
        <v>570</v>
      </c>
      <c r="B5" s="636"/>
      <c r="C5" s="636"/>
      <c r="D5" s="636"/>
      <c r="E5" s="636"/>
      <c r="F5" s="636"/>
      <c r="G5" s="636"/>
      <c r="H5" s="636"/>
    </row>
    <row r="6" spans="1:11" ht="8.25" customHeight="1" x14ac:dyDescent="0.25">
      <c r="A6" s="637"/>
      <c r="B6" s="638"/>
      <c r="C6" s="638"/>
      <c r="D6" s="638"/>
      <c r="E6" s="638"/>
      <c r="F6" s="638"/>
      <c r="G6" s="638"/>
      <c r="H6" s="638"/>
    </row>
    <row r="7" spans="1:11" ht="15.75" x14ac:dyDescent="0.25">
      <c r="A7" s="647" t="s">
        <v>176</v>
      </c>
      <c r="B7" s="647"/>
      <c r="C7" s="647"/>
      <c r="D7" s="647"/>
      <c r="E7" s="647"/>
      <c r="F7" s="647"/>
      <c r="G7" s="647"/>
      <c r="H7" s="647"/>
      <c r="K7" s="86"/>
    </row>
    <row r="8" spans="1:11" ht="16.5" thickBot="1" x14ac:dyDescent="0.3">
      <c r="A8" s="648" t="s">
        <v>357</v>
      </c>
      <c r="B8" s="648"/>
      <c r="C8" s="648"/>
      <c r="D8" s="648"/>
      <c r="E8" s="648"/>
      <c r="F8" s="648"/>
      <c r="G8" s="648"/>
      <c r="H8" s="648"/>
      <c r="K8" s="86"/>
    </row>
    <row r="9" spans="1:11" ht="15.75" thickBot="1" x14ac:dyDescent="0.3">
      <c r="A9" s="655" t="s">
        <v>0</v>
      </c>
      <c r="B9" s="656"/>
      <c r="C9" s="656"/>
      <c r="D9" s="656"/>
      <c r="E9" s="656"/>
      <c r="F9" s="656"/>
      <c r="G9" s="657" t="s">
        <v>151</v>
      </c>
      <c r="H9" s="659" t="s">
        <v>152</v>
      </c>
      <c r="K9" s="86"/>
    </row>
    <row r="10" spans="1:11" s="22" customFormat="1" ht="200.25" customHeight="1" thickBot="1" x14ac:dyDescent="0.25">
      <c r="A10" s="75" t="s">
        <v>144</v>
      </c>
      <c r="B10" s="76" t="s">
        <v>145</v>
      </c>
      <c r="C10" s="76" t="s">
        <v>122</v>
      </c>
      <c r="D10" s="76" t="s">
        <v>146</v>
      </c>
      <c r="E10" s="78" t="s">
        <v>153</v>
      </c>
      <c r="F10" s="77" t="s">
        <v>99</v>
      </c>
      <c r="G10" s="658"/>
      <c r="H10" s="660"/>
    </row>
    <row r="11" spans="1:11" ht="15.75" customHeight="1" x14ac:dyDescent="0.2">
      <c r="A11" s="8">
        <v>5</v>
      </c>
      <c r="B11" s="1" t="s">
        <v>352</v>
      </c>
      <c r="C11" s="10" t="s">
        <v>49</v>
      </c>
      <c r="D11" s="1" t="s">
        <v>51</v>
      </c>
      <c r="E11" s="10" t="s">
        <v>54</v>
      </c>
      <c r="F11" s="2">
        <v>55302</v>
      </c>
      <c r="G11" s="6" t="s">
        <v>350</v>
      </c>
      <c r="H11" s="15"/>
    </row>
    <row r="12" spans="1:11" ht="15.75" customHeight="1" x14ac:dyDescent="0.2">
      <c r="A12" s="8">
        <v>5</v>
      </c>
      <c r="B12" s="1" t="s">
        <v>352</v>
      </c>
      <c r="C12" s="10" t="s">
        <v>49</v>
      </c>
      <c r="D12" s="1" t="s">
        <v>51</v>
      </c>
      <c r="E12" s="10" t="s">
        <v>54</v>
      </c>
      <c r="F12" s="2">
        <v>55304</v>
      </c>
      <c r="G12" s="6" t="s">
        <v>351</v>
      </c>
      <c r="H12" s="15"/>
    </row>
    <row r="13" spans="1:11" ht="15.75" customHeight="1" x14ac:dyDescent="0.2">
      <c r="A13" s="8">
        <v>5</v>
      </c>
      <c r="B13" s="1" t="s">
        <v>352</v>
      </c>
      <c r="C13" s="10" t="s">
        <v>49</v>
      </c>
      <c r="D13" s="1" t="s">
        <v>51</v>
      </c>
      <c r="E13" s="10" t="s">
        <v>54</v>
      </c>
      <c r="F13" s="2">
        <v>71304</v>
      </c>
      <c r="G13" s="6" t="s">
        <v>121</v>
      </c>
      <c r="H13" s="15"/>
    </row>
    <row r="14" spans="1:11" ht="15.75" customHeight="1" thickBot="1" x14ac:dyDescent="0.25">
      <c r="A14" s="18"/>
      <c r="B14" s="16"/>
      <c r="C14" s="16"/>
      <c r="D14" s="16"/>
      <c r="E14" s="16"/>
      <c r="F14" s="3"/>
      <c r="G14" s="7"/>
      <c r="H14" s="17"/>
    </row>
    <row r="15" spans="1:11" ht="27.75" customHeight="1" thickBot="1" x14ac:dyDescent="0.35">
      <c r="A15" s="652"/>
      <c r="B15" s="653"/>
      <c r="C15" s="653"/>
      <c r="D15" s="653"/>
      <c r="E15" s="653"/>
      <c r="F15" s="654"/>
      <c r="G15" s="90" t="s">
        <v>353</v>
      </c>
      <c r="H15" s="91">
        <f>SUM(H11:H14)</f>
        <v>0</v>
      </c>
    </row>
    <row r="16" spans="1:11" x14ac:dyDescent="0.2">
      <c r="A16" s="23"/>
      <c r="B16" s="23"/>
      <c r="C16" s="23"/>
      <c r="D16" s="23"/>
      <c r="E16" s="23"/>
      <c r="F16" s="23"/>
      <c r="H16" s="38"/>
    </row>
    <row r="17" spans="1:8" ht="15.75" x14ac:dyDescent="0.25">
      <c r="A17" s="34"/>
      <c r="B17" s="34"/>
      <c r="C17" s="34"/>
      <c r="D17" s="34"/>
      <c r="E17" s="34"/>
      <c r="F17" s="34"/>
      <c r="G17" s="39"/>
      <c r="H17" s="39"/>
    </row>
    <row r="18" spans="1:8" ht="19.5" customHeight="1" x14ac:dyDescent="0.2">
      <c r="A18" s="651" t="s">
        <v>12</v>
      </c>
      <c r="B18" s="651"/>
      <c r="C18" s="651"/>
      <c r="D18" s="651"/>
      <c r="E18" s="651"/>
      <c r="F18" s="651"/>
    </row>
    <row r="19" spans="1:8" x14ac:dyDescent="0.2">
      <c r="A19" s="646" t="s">
        <v>2</v>
      </c>
      <c r="B19" s="646"/>
      <c r="C19" s="646"/>
      <c r="D19" s="646"/>
      <c r="E19" s="646"/>
      <c r="F19" s="646"/>
      <c r="G19" s="646"/>
    </row>
    <row r="20" spans="1:8" x14ac:dyDescent="0.2">
      <c r="A20" s="646" t="s">
        <v>8</v>
      </c>
      <c r="B20" s="646"/>
      <c r="C20" s="646"/>
      <c r="D20" s="646"/>
      <c r="E20" s="646"/>
      <c r="F20" s="646"/>
      <c r="G20" s="646"/>
      <c r="H20" s="89"/>
    </row>
    <row r="21" spans="1:8" x14ac:dyDescent="0.2">
      <c r="A21" s="646" t="s">
        <v>9</v>
      </c>
      <c r="B21" s="646"/>
      <c r="C21" s="646"/>
      <c r="D21" s="646"/>
      <c r="E21" s="646"/>
      <c r="F21" s="646"/>
      <c r="G21" s="646"/>
    </row>
    <row r="22" spans="1:8" x14ac:dyDescent="0.2">
      <c r="A22" s="646"/>
      <c r="B22" s="646"/>
      <c r="C22" s="646"/>
      <c r="D22" s="646"/>
      <c r="E22" s="646"/>
      <c r="F22" s="646"/>
      <c r="G22" s="646"/>
    </row>
  </sheetData>
  <mergeCells count="18">
    <mergeCell ref="A22:G22"/>
    <mergeCell ref="A7:H7"/>
    <mergeCell ref="A8:H8"/>
    <mergeCell ref="A9:F9"/>
    <mergeCell ref="G9:G10"/>
    <mergeCell ref="H9:H10"/>
    <mergeCell ref="A20:G20"/>
    <mergeCell ref="A21:G21"/>
    <mergeCell ref="A19:G19"/>
    <mergeCell ref="A6:H6"/>
    <mergeCell ref="A2:I2"/>
    <mergeCell ref="A15:F15"/>
    <mergeCell ref="A18:F18"/>
    <mergeCell ref="A1:D1"/>
    <mergeCell ref="E1:H1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33</vt:i4>
      </vt:variant>
    </vt:vector>
  </HeadingPairs>
  <TitlesOfParts>
    <vt:vector size="59" baseType="lpstr">
      <vt:lpstr>PORTADA</vt:lpstr>
      <vt:lpstr>Estructura</vt:lpstr>
      <vt:lpstr>Rubros</vt:lpstr>
      <vt:lpstr>Ingresos</vt:lpstr>
      <vt:lpstr>Egresos</vt:lpstr>
      <vt:lpstr>Egresos F. MPal.</vt:lpstr>
      <vt:lpstr>Egr. FODES 25%</vt:lpstr>
      <vt:lpstr> Egrs75%FODES- PROY.SOCIALES</vt:lpstr>
      <vt:lpstr>AMORT.DE PREST.</vt:lpstr>
      <vt:lpstr>PRESTAMOS</vt:lpstr>
      <vt:lpstr> Egrs75%FODES- PROY.INFRAEST</vt:lpstr>
      <vt:lpstr>Egr.FODES 2%</vt:lpstr>
      <vt:lpstr>FONDOS GOES</vt:lpstr>
      <vt:lpstr>FISDL</vt:lpstr>
      <vt:lpstr>DONACIONES(ISNA) (2)</vt:lpstr>
      <vt:lpstr>Dietas</vt:lpstr>
      <vt:lpstr>Salarios</vt:lpstr>
      <vt:lpstr>Planillas</vt:lpstr>
      <vt:lpstr>Planillas (2)</vt:lpstr>
      <vt:lpstr>MORA TRIBUTARIA A 2021</vt:lpstr>
      <vt:lpstr>proyectos sociales</vt:lpstr>
      <vt:lpstr>ESPECIFICOS PROYECTOS SOCIALES</vt:lpstr>
      <vt:lpstr>PROYECTOS DE ARRASTRE 2020</vt:lpstr>
      <vt:lpstr>PROYECTOS CON DEUDA 2020</vt:lpstr>
      <vt:lpstr>PROYECTOS 2% ESPECIFICOS </vt:lpstr>
      <vt:lpstr>PROYECTOS GOES ESPECIFICOS </vt:lpstr>
      <vt:lpstr>' Egrs75%FODES- PROY.INFRAEST'!Área_de_impresión</vt:lpstr>
      <vt:lpstr>' Egrs75%FODES- PROY.SOCIALES'!Área_de_impresión</vt:lpstr>
      <vt:lpstr>'AMORT.DE PREST.'!Área_de_impresión</vt:lpstr>
      <vt:lpstr>Dietas!Área_de_impresión</vt:lpstr>
      <vt:lpstr>'DONACIONES(ISNA) (2)'!Área_de_impresión</vt:lpstr>
      <vt:lpstr>'Egr. FODES 25%'!Área_de_impresión</vt:lpstr>
      <vt:lpstr>'Egr.FODES 2%'!Área_de_impresión</vt:lpstr>
      <vt:lpstr>Egresos!Área_de_impresión</vt:lpstr>
      <vt:lpstr>'Egresos F. MPal.'!Área_de_impresión</vt:lpstr>
      <vt:lpstr>'ESPECIFICOS PROYECTOS SOCIALES'!Área_de_impresión</vt:lpstr>
      <vt:lpstr>Estructura!Área_de_impresión</vt:lpstr>
      <vt:lpstr>FISDL!Área_de_impresión</vt:lpstr>
      <vt:lpstr>'FONDOS GOES'!Área_de_impresión</vt:lpstr>
      <vt:lpstr>Ingresos!Área_de_impresión</vt:lpstr>
      <vt:lpstr>'MORA TRIBUTARIA A 2021'!Área_de_impresión</vt:lpstr>
      <vt:lpstr>'Planillas (2)'!Área_de_impresión</vt:lpstr>
      <vt:lpstr>PRESTAMOS!Área_de_impresión</vt:lpstr>
      <vt:lpstr>'PROYECTOS 2% ESPECIFICOS '!Área_de_impresión</vt:lpstr>
      <vt:lpstr>'PROYECTOS CON DEUDA 2020'!Área_de_impresión</vt:lpstr>
      <vt:lpstr>'PROYECTOS DE ARRASTRE 2020'!Área_de_impresión</vt:lpstr>
      <vt:lpstr>'proyectos sociales'!Área_de_impresión</vt:lpstr>
      <vt:lpstr>' Egrs75%FODES- PROY.INFRAEST'!Títulos_a_imprimir</vt:lpstr>
      <vt:lpstr>' Egrs75%FODES- PROY.SOCIALES'!Títulos_a_imprimir</vt:lpstr>
      <vt:lpstr>'AMORT.DE PREST.'!Títulos_a_imprimir</vt:lpstr>
      <vt:lpstr>Dietas!Títulos_a_imprimir</vt:lpstr>
      <vt:lpstr>'DONACIONES(ISNA) (2)'!Títulos_a_imprimir</vt:lpstr>
      <vt:lpstr>'Egr.FODES 2%'!Títulos_a_imprimir</vt:lpstr>
      <vt:lpstr>Egresos!Títulos_a_imprimir</vt:lpstr>
      <vt:lpstr>'Egresos F. MPal.'!Títulos_a_imprimir</vt:lpstr>
      <vt:lpstr>FISDL!Títulos_a_imprimir</vt:lpstr>
      <vt:lpstr>'FONDOS GOES'!Títulos_a_imprimir</vt:lpstr>
      <vt:lpstr>Ingresos!Títulos_a_imprimir</vt:lpstr>
      <vt:lpstr>'Planillas (2)'!Títulos_a_imprimir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Propietario</cp:lastModifiedBy>
  <cp:lastPrinted>2021-04-08T14:08:10Z</cp:lastPrinted>
  <dcterms:created xsi:type="dcterms:W3CDTF">2007-07-18T15:13:44Z</dcterms:created>
  <dcterms:modified xsi:type="dcterms:W3CDTF">2021-05-04T20:30:21Z</dcterms:modified>
</cp:coreProperties>
</file>